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885" windowWidth="19440" windowHeight="11580" tabRatio="915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WarmińskoMazurski!$A$6:$C$63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CENTRALA!$A$1:$F$64</definedName>
    <definedName name="_xlnm.Print_Area" localSheetId="3">Dolnośląski!$A$1:$F$64</definedName>
    <definedName name="_xlnm.Print_Area" localSheetId="4">KujawskoPomorski!$A$1:$F$64</definedName>
    <definedName name="_xlnm.Print_Area" localSheetId="5">Lubelski!$A$1:$F$64</definedName>
    <definedName name="_xlnm.Print_Area" localSheetId="6">Lubuski!$A$1:$F$64</definedName>
    <definedName name="_xlnm.Print_Area" localSheetId="7">Łódzki!$A$1:$F$64</definedName>
    <definedName name="_xlnm.Print_Area" localSheetId="8">Małopolski!$A$1:$F$64</definedName>
    <definedName name="_xlnm.Print_Area" localSheetId="9">Mazowiecki!$A$1:$F$64</definedName>
    <definedName name="_xlnm.Print_Area" localSheetId="0">NFZ!$A$1:$F$92</definedName>
    <definedName name="_xlnm.Print_Area" localSheetId="10">Opolski!$A$1:$F$64</definedName>
    <definedName name="_xlnm.Print_Area" localSheetId="11">Podkarpacki!$A$1:$F$64</definedName>
    <definedName name="_xlnm.Print_Area" localSheetId="12">Podlaski!$A$1:$F$64</definedName>
    <definedName name="_xlnm.Print_Area" localSheetId="13">Pomorski!$A$1:$F$64</definedName>
    <definedName name="_xlnm.Print_Area" localSheetId="2">'Razem OW'!$A$1:$F$64</definedName>
    <definedName name="_xlnm.Print_Area" localSheetId="14">Śląski!$A$1:$F$64</definedName>
    <definedName name="_xlnm.Print_Area" localSheetId="15">Świętokrzyski!$A$1:$F$64</definedName>
    <definedName name="_xlnm.Print_Area" localSheetId="16">WarmińskoMazurski!$A$1:$F$64</definedName>
    <definedName name="_xlnm.Print_Area" localSheetId="17">Wielkopolski!$A$1:$F$64</definedName>
    <definedName name="_xlnm.Print_Area" localSheetId="18">Zachodniopomorski!$A$1:$F$64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45621" fullPrecision="0"/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3"/>
  <c r="A1" i="19"/>
  <c r="A1" i="20" l="1"/>
  <c r="A1" i="22"/>
  <c r="D61" i="5" l="1"/>
  <c r="D64" i="7"/>
  <c r="D61" i="7"/>
  <c r="D64" i="8"/>
  <c r="D63" i="8"/>
  <c r="D61" i="8"/>
  <c r="D64" i="12"/>
  <c r="D63" i="12"/>
  <c r="D61" i="12"/>
  <c r="D64" i="13"/>
  <c r="D63" i="13"/>
  <c r="D61" i="13"/>
  <c r="D63" i="18"/>
  <c r="D61" i="18"/>
  <c r="D64" i="22"/>
  <c r="D63" i="22"/>
  <c r="D62" i="22"/>
  <c r="D61" i="22"/>
  <c r="D60" i="22"/>
  <c r="D88" i="23"/>
  <c r="D87" i="23"/>
  <c r="D80" i="23"/>
  <c r="D18" i="23"/>
  <c r="D61" i="17" l="1"/>
  <c r="D64" i="3" l="1"/>
  <c r="D64" i="17"/>
  <c r="D64" i="6"/>
  <c r="D64" i="9"/>
  <c r="D64" i="10"/>
  <c r="D64" i="14"/>
  <c r="D64" i="15"/>
  <c r="D64" i="16"/>
  <c r="D64" i="19"/>
  <c r="D63" i="7" l="1"/>
  <c r="D60" i="9" l="1"/>
  <c r="D60" i="17"/>
  <c r="D63" i="3"/>
  <c r="D61" i="3"/>
  <c r="D63" i="5"/>
  <c r="D63" i="6"/>
  <c r="D61" i="6"/>
  <c r="D63" i="9"/>
  <c r="D61" i="9"/>
  <c r="D63" i="10"/>
  <c r="D61" i="10"/>
  <c r="D61" i="11"/>
  <c r="D61" i="14"/>
  <c r="D63" i="15"/>
  <c r="D61" i="15"/>
  <c r="D63" i="16"/>
  <c r="D61" i="16"/>
  <c r="D63" i="17"/>
  <c r="D63" i="19"/>
  <c r="D61" i="19"/>
  <c r="C6" i="19" l="1"/>
  <c r="C6" i="18"/>
  <c r="C6" i="17"/>
  <c r="C6" i="16"/>
  <c r="C6" i="15"/>
  <c r="C6" i="14"/>
  <c r="C6" i="13"/>
  <c r="C6" i="12"/>
  <c r="C6" i="11"/>
  <c r="C6" i="10"/>
  <c r="C6" i="9"/>
  <c r="C6" i="8"/>
  <c r="C6" i="7"/>
  <c r="C6" i="6"/>
  <c r="C6" i="5"/>
  <c r="C6" i="3"/>
  <c r="C6" i="22"/>
  <c r="D22" i="23" l="1"/>
  <c r="D62" i="3"/>
  <c r="D55" i="3"/>
  <c r="D53" i="3"/>
  <c r="D50" i="3"/>
  <c r="D46" i="3"/>
  <c r="D42" i="3"/>
  <c r="D40" i="3"/>
  <c r="D39" i="3"/>
  <c r="D35" i="3"/>
  <c r="D34" i="3"/>
  <c r="D32" i="3"/>
  <c r="D29" i="3"/>
  <c r="D28" i="3"/>
  <c r="D25" i="3"/>
  <c r="D23" i="3"/>
  <c r="D19" i="3"/>
  <c r="D17" i="3"/>
  <c r="D16" i="3"/>
  <c r="D15" i="3"/>
  <c r="D12" i="3"/>
  <c r="D8" i="3"/>
  <c r="D7" i="3"/>
  <c r="D62" i="5"/>
  <c r="D60" i="5"/>
  <c r="D55" i="5"/>
  <c r="D53" i="5"/>
  <c r="D52" i="5"/>
  <c r="D50" i="5"/>
  <c r="D48" i="5"/>
  <c r="D47" i="5"/>
  <c r="D46" i="5"/>
  <c r="D45" i="5"/>
  <c r="D44" i="5"/>
  <c r="D43" i="5"/>
  <c r="D42" i="5"/>
  <c r="D40" i="5"/>
  <c r="D35" i="5"/>
  <c r="D34" i="5"/>
  <c r="D33" i="5"/>
  <c r="D32" i="5"/>
  <c r="D30" i="5"/>
  <c r="D29" i="5"/>
  <c r="D28" i="5"/>
  <c r="D26" i="5"/>
  <c r="D25" i="5"/>
  <c r="D22" i="5"/>
  <c r="D20" i="5"/>
  <c r="D18" i="5"/>
  <c r="D17" i="5"/>
  <c r="D16" i="5"/>
  <c r="D14" i="5"/>
  <c r="D13" i="5"/>
  <c r="D12" i="5"/>
  <c r="D10" i="5"/>
  <c r="D9" i="5"/>
  <c r="D8" i="5"/>
  <c r="C59" i="6"/>
  <c r="D58" i="6"/>
  <c r="D54" i="6"/>
  <c r="D50" i="6"/>
  <c r="D46" i="6"/>
  <c r="D42" i="6"/>
  <c r="D40" i="6"/>
  <c r="D35" i="6"/>
  <c r="D34" i="6"/>
  <c r="D32" i="6"/>
  <c r="D31" i="6"/>
  <c r="D28" i="6"/>
  <c r="D23" i="6"/>
  <c r="D20" i="6"/>
  <c r="D19" i="6"/>
  <c r="D16" i="6"/>
  <c r="D15" i="6"/>
  <c r="D12" i="6"/>
  <c r="C37" i="6"/>
  <c r="D7" i="6"/>
  <c r="D60" i="7"/>
  <c r="D57" i="7"/>
  <c r="D56" i="7"/>
  <c r="D55" i="7"/>
  <c r="D53" i="7"/>
  <c r="D52" i="7"/>
  <c r="D50" i="7"/>
  <c r="D47" i="7"/>
  <c r="D46" i="7"/>
  <c r="D42" i="7"/>
  <c r="D39" i="7"/>
  <c r="D36" i="7"/>
  <c r="D35" i="7"/>
  <c r="D33" i="7"/>
  <c r="D32" i="7"/>
  <c r="D29" i="7"/>
  <c r="D28" i="7"/>
  <c r="D22" i="7"/>
  <c r="D21" i="7"/>
  <c r="D20" i="7"/>
  <c r="D18" i="7"/>
  <c r="D17" i="7"/>
  <c r="D16" i="7"/>
  <c r="D15" i="7"/>
  <c r="D12" i="7"/>
  <c r="D11" i="7"/>
  <c r="D10" i="7"/>
  <c r="D9" i="7"/>
  <c r="D8" i="7"/>
  <c r="D7" i="7"/>
  <c r="D62" i="8"/>
  <c r="D57" i="8"/>
  <c r="D53" i="8"/>
  <c r="D50" i="8"/>
  <c r="D48" i="8"/>
  <c r="D46" i="8"/>
  <c r="D42" i="8"/>
  <c r="D40" i="8"/>
  <c r="D39" i="8"/>
  <c r="D35" i="8"/>
  <c r="D34" i="8"/>
  <c r="D32" i="8"/>
  <c r="D31" i="8"/>
  <c r="D29" i="8"/>
  <c r="D28" i="8"/>
  <c r="D27" i="8"/>
  <c r="D23" i="8"/>
  <c r="D21" i="8"/>
  <c r="D20" i="8"/>
  <c r="D19" i="8"/>
  <c r="D16" i="8"/>
  <c r="D15" i="8"/>
  <c r="D13" i="8"/>
  <c r="D12" i="8"/>
  <c r="D57" i="9"/>
  <c r="D56" i="9"/>
  <c r="D54" i="9"/>
  <c r="D53" i="9"/>
  <c r="D48" i="9"/>
  <c r="D47" i="9"/>
  <c r="D45" i="9"/>
  <c r="D43" i="9"/>
  <c r="D39" i="9"/>
  <c r="D36" i="9"/>
  <c r="D34" i="9"/>
  <c r="D33" i="9"/>
  <c r="D29" i="9"/>
  <c r="D26" i="9"/>
  <c r="D25" i="9"/>
  <c r="D22" i="9"/>
  <c r="D21" i="9"/>
  <c r="D18" i="9"/>
  <c r="D17" i="9"/>
  <c r="D13" i="9"/>
  <c r="D10" i="9"/>
  <c r="D9" i="9"/>
  <c r="D7" i="9"/>
  <c r="D58" i="10"/>
  <c r="D56" i="10"/>
  <c r="D54" i="10"/>
  <c r="D52" i="10"/>
  <c r="D50" i="10"/>
  <c r="D49" i="10"/>
  <c r="D45" i="10"/>
  <c r="D43" i="10"/>
  <c r="D42" i="10"/>
  <c r="D36" i="10"/>
  <c r="D35" i="10"/>
  <c r="D34" i="10"/>
  <c r="D33" i="10"/>
  <c r="D29" i="10"/>
  <c r="D28" i="10"/>
  <c r="D27" i="10"/>
  <c r="D25" i="10"/>
  <c r="D23" i="10"/>
  <c r="D21" i="10"/>
  <c r="D20" i="10"/>
  <c r="D19" i="10"/>
  <c r="D17" i="10"/>
  <c r="D16" i="10"/>
  <c r="D15" i="10"/>
  <c r="D13" i="10"/>
  <c r="D12" i="10"/>
  <c r="D8" i="10"/>
  <c r="D64" i="11"/>
  <c r="D62" i="11"/>
  <c r="D60" i="11"/>
  <c r="D57" i="11"/>
  <c r="D56" i="11"/>
  <c r="D53" i="11"/>
  <c r="D52" i="11"/>
  <c r="D50" i="11"/>
  <c r="D48" i="11"/>
  <c r="D47" i="11"/>
  <c r="D46" i="11"/>
  <c r="D44" i="11"/>
  <c r="D43" i="11"/>
  <c r="D42" i="11"/>
  <c r="D36" i="11"/>
  <c r="D33" i="11"/>
  <c r="D32" i="11"/>
  <c r="D30" i="11"/>
  <c r="D29" i="11"/>
  <c r="D26" i="11"/>
  <c r="D22" i="11"/>
  <c r="D21" i="11"/>
  <c r="D20" i="11"/>
  <c r="D17" i="11"/>
  <c r="D16" i="11"/>
  <c r="D14" i="11"/>
  <c r="D13" i="11"/>
  <c r="D12" i="11"/>
  <c r="D9" i="11"/>
  <c r="D8" i="11"/>
  <c r="D62" i="12"/>
  <c r="D60" i="12"/>
  <c r="D58" i="12"/>
  <c r="D55" i="12"/>
  <c r="D50" i="12"/>
  <c r="D48" i="12"/>
  <c r="D46" i="12"/>
  <c r="D45" i="12"/>
  <c r="D42" i="12"/>
  <c r="D35" i="12"/>
  <c r="D34" i="12"/>
  <c r="D32" i="12"/>
  <c r="D31" i="12"/>
  <c r="D29" i="12"/>
  <c r="D28" i="12"/>
  <c r="D27" i="12"/>
  <c r="D21" i="12"/>
  <c r="D20" i="12"/>
  <c r="D17" i="12"/>
  <c r="D16" i="12"/>
  <c r="D15" i="12"/>
  <c r="D12" i="12"/>
  <c r="D11" i="12"/>
  <c r="D9" i="12"/>
  <c r="D8" i="12"/>
  <c r="D58" i="13"/>
  <c r="D55" i="13"/>
  <c r="D54" i="13"/>
  <c r="D53" i="13"/>
  <c r="D50" i="13"/>
  <c r="D49" i="13"/>
  <c r="D48" i="13"/>
  <c r="D47" i="13"/>
  <c r="D45" i="13"/>
  <c r="D44" i="13"/>
  <c r="D43" i="13"/>
  <c r="D40" i="13"/>
  <c r="D36" i="13"/>
  <c r="D35" i="13"/>
  <c r="D33" i="13"/>
  <c r="D32" i="13"/>
  <c r="D30" i="13"/>
  <c r="D29" i="13"/>
  <c r="D28" i="13"/>
  <c r="D27" i="13"/>
  <c r="D26" i="13"/>
  <c r="D22" i="13"/>
  <c r="D21" i="13"/>
  <c r="D20" i="13"/>
  <c r="D18" i="13"/>
  <c r="D17" i="13"/>
  <c r="D16" i="13"/>
  <c r="D14" i="13"/>
  <c r="D13" i="13"/>
  <c r="D12" i="13"/>
  <c r="D10" i="13"/>
  <c r="D9" i="13"/>
  <c r="D8" i="13"/>
  <c r="D7" i="13"/>
  <c r="D63" i="14"/>
  <c r="D58" i="14"/>
  <c r="D55" i="14"/>
  <c r="D50" i="14"/>
  <c r="D49" i="14"/>
  <c r="D46" i="14"/>
  <c r="D45" i="14"/>
  <c r="D43" i="14"/>
  <c r="D40" i="14"/>
  <c r="D35" i="14"/>
  <c r="D34" i="14"/>
  <c r="D31" i="14"/>
  <c r="D28" i="14"/>
  <c r="D27" i="14"/>
  <c r="D23" i="14"/>
  <c r="D22" i="14"/>
  <c r="D21" i="14"/>
  <c r="D20" i="14"/>
  <c r="D19" i="14"/>
  <c r="D17" i="14"/>
  <c r="D16" i="14"/>
  <c r="D13" i="14"/>
  <c r="D12" i="14"/>
  <c r="D10" i="14"/>
  <c r="D8" i="14"/>
  <c r="D60" i="15"/>
  <c r="D57" i="15"/>
  <c r="D56" i="15"/>
  <c r="D55" i="15"/>
  <c r="D52" i="15"/>
  <c r="D48" i="15"/>
  <c r="D47" i="15"/>
  <c r="D43" i="15"/>
  <c r="D42" i="15"/>
  <c r="D36" i="15"/>
  <c r="D33" i="15"/>
  <c r="D32" i="15"/>
  <c r="D30" i="15"/>
  <c r="D29" i="15"/>
  <c r="D28" i="15"/>
  <c r="D27" i="15"/>
  <c r="D25" i="15"/>
  <c r="D21" i="15"/>
  <c r="D20" i="15"/>
  <c r="D19" i="15"/>
  <c r="D18" i="15"/>
  <c r="D17" i="15"/>
  <c r="D16" i="15"/>
  <c r="D14" i="15"/>
  <c r="D13" i="15"/>
  <c r="D12" i="15"/>
  <c r="D9" i="15"/>
  <c r="D8" i="15"/>
  <c r="D62" i="16"/>
  <c r="D60" i="16"/>
  <c r="D58" i="16"/>
  <c r="D57" i="16"/>
  <c r="D56" i="16"/>
  <c r="D54" i="16"/>
  <c r="D53" i="16"/>
  <c r="D50" i="16"/>
  <c r="D49" i="16"/>
  <c r="D48" i="16"/>
  <c r="D47" i="16"/>
  <c r="D46" i="16"/>
  <c r="D45" i="16"/>
  <c r="D44" i="16"/>
  <c r="D40" i="16"/>
  <c r="D34" i="16"/>
  <c r="D33" i="16"/>
  <c r="D31" i="16"/>
  <c r="D30" i="16"/>
  <c r="D29" i="16"/>
  <c r="D28" i="16"/>
  <c r="D26" i="16"/>
  <c r="D25" i="16"/>
  <c r="D23" i="16"/>
  <c r="D22" i="16"/>
  <c r="D21" i="16"/>
  <c r="D20" i="16"/>
  <c r="D19" i="16"/>
  <c r="D18" i="16"/>
  <c r="D17" i="16"/>
  <c r="D15" i="16"/>
  <c r="D14" i="16"/>
  <c r="D13" i="16"/>
  <c r="D12" i="16"/>
  <c r="D9" i="16"/>
  <c r="D7" i="16"/>
  <c r="D55" i="17"/>
  <c r="D54" i="17"/>
  <c r="D53" i="17"/>
  <c r="D52" i="17"/>
  <c r="D50" i="17"/>
  <c r="D48" i="17"/>
  <c r="D47" i="17"/>
  <c r="D46" i="17"/>
  <c r="D45" i="17"/>
  <c r="D44" i="17"/>
  <c r="D43" i="17"/>
  <c r="D42" i="17"/>
  <c r="D40" i="17"/>
  <c r="D39" i="17"/>
  <c r="D35" i="17"/>
  <c r="D34" i="17"/>
  <c r="D33" i="17"/>
  <c r="D32" i="17"/>
  <c r="D31" i="17"/>
  <c r="D30" i="17"/>
  <c r="D29" i="17"/>
  <c r="D28" i="17"/>
  <c r="D27" i="17"/>
  <c r="D26" i="17"/>
  <c r="D25" i="17"/>
  <c r="D22" i="17"/>
  <c r="D21" i="17"/>
  <c r="D18" i="17"/>
  <c r="D17" i="17"/>
  <c r="D11" i="17"/>
  <c r="D10" i="17"/>
  <c r="D9" i="17"/>
  <c r="D60" i="18"/>
  <c r="D58" i="18"/>
  <c r="D57" i="18"/>
  <c r="D56" i="18"/>
  <c r="D55" i="18"/>
  <c r="D54" i="18"/>
  <c r="D50" i="18"/>
  <c r="D49" i="18"/>
  <c r="D48" i="18"/>
  <c r="D46" i="18"/>
  <c r="D45" i="18"/>
  <c r="D44" i="18"/>
  <c r="D39" i="18"/>
  <c r="D36" i="18"/>
  <c r="D35" i="18"/>
  <c r="D32" i="18"/>
  <c r="D31" i="18"/>
  <c r="D28" i="18"/>
  <c r="D27" i="18"/>
  <c r="D23" i="18"/>
  <c r="D22" i="18"/>
  <c r="D20" i="18"/>
  <c r="D19" i="18"/>
  <c r="D16" i="18"/>
  <c r="D15" i="18"/>
  <c r="D14" i="18"/>
  <c r="D12" i="18"/>
  <c r="C37" i="18"/>
  <c r="D8" i="18"/>
  <c r="D7" i="18"/>
  <c r="D57" i="22"/>
  <c r="D56" i="22"/>
  <c r="D55" i="22"/>
  <c r="D53" i="22"/>
  <c r="D52" i="22"/>
  <c r="D50" i="22"/>
  <c r="D47" i="22"/>
  <c r="D46" i="22"/>
  <c r="D43" i="22"/>
  <c r="D39" i="22"/>
  <c r="D36" i="22"/>
  <c r="D35" i="22"/>
  <c r="D33" i="22"/>
  <c r="D32" i="22"/>
  <c r="D31" i="22"/>
  <c r="D30" i="22"/>
  <c r="D29" i="22"/>
  <c r="D28" i="22"/>
  <c r="D26" i="22"/>
  <c r="D25" i="22"/>
  <c r="D23" i="22"/>
  <c r="D22" i="22"/>
  <c r="D21" i="22"/>
  <c r="D20" i="22"/>
  <c r="D19" i="22"/>
  <c r="D17" i="22"/>
  <c r="D16" i="22"/>
  <c r="D15" i="22"/>
  <c r="D14" i="22"/>
  <c r="D13" i="22"/>
  <c r="D11" i="22"/>
  <c r="D9" i="22"/>
  <c r="D8" i="22"/>
  <c r="D58" i="22"/>
  <c r="D54" i="22"/>
  <c r="D49" i="22"/>
  <c r="D48" i="22"/>
  <c r="D45" i="22"/>
  <c r="D44" i="22"/>
  <c r="D40" i="22"/>
  <c r="D34" i="22"/>
  <c r="D27" i="22"/>
  <c r="D18" i="22"/>
  <c r="D12" i="22"/>
  <c r="D10" i="22"/>
  <c r="D62" i="17"/>
  <c r="D58" i="17"/>
  <c r="D57" i="17"/>
  <c r="D56" i="17"/>
  <c r="D49" i="17"/>
  <c r="D36" i="17"/>
  <c r="D23" i="17"/>
  <c r="D20" i="17"/>
  <c r="D19" i="17"/>
  <c r="D16" i="17"/>
  <c r="D15" i="17"/>
  <c r="D14" i="17"/>
  <c r="D12" i="17"/>
  <c r="D8" i="17"/>
  <c r="D55" i="16"/>
  <c r="D52" i="16"/>
  <c r="D43" i="16"/>
  <c r="D36" i="16"/>
  <c r="D35" i="16"/>
  <c r="D32" i="16"/>
  <c r="D27" i="16"/>
  <c r="D16" i="16"/>
  <c r="D10" i="16"/>
  <c r="D58" i="15"/>
  <c r="D54" i="15"/>
  <c r="D53" i="15"/>
  <c r="D50" i="15"/>
  <c r="D49" i="15"/>
  <c r="D46" i="15"/>
  <c r="D45" i="15"/>
  <c r="D44" i="15"/>
  <c r="D40" i="15"/>
  <c r="D39" i="15"/>
  <c r="D35" i="15"/>
  <c r="D34" i="15"/>
  <c r="D31" i="15"/>
  <c r="D26" i="15"/>
  <c r="D23" i="15"/>
  <c r="D22" i="15"/>
  <c r="D15" i="15"/>
  <c r="D10" i="15"/>
  <c r="D62" i="14"/>
  <c r="D57" i="14"/>
  <c r="D56" i="14"/>
  <c r="D54" i="14"/>
  <c r="D53" i="14"/>
  <c r="D48" i="14"/>
  <c r="D47" i="14"/>
  <c r="D44" i="14"/>
  <c r="D39" i="14"/>
  <c r="D36" i="14"/>
  <c r="D33" i="14"/>
  <c r="D32" i="14"/>
  <c r="D30" i="14"/>
  <c r="D29" i="14"/>
  <c r="D26" i="14"/>
  <c r="D25" i="14"/>
  <c r="D18" i="14"/>
  <c r="D15" i="14"/>
  <c r="D14" i="14"/>
  <c r="D9" i="14"/>
  <c r="D62" i="13"/>
  <c r="D57" i="13"/>
  <c r="D56" i="13"/>
  <c r="D46" i="13"/>
  <c r="D39" i="13"/>
  <c r="D34" i="13"/>
  <c r="D31" i="13"/>
  <c r="D25" i="13"/>
  <c r="D23" i="13"/>
  <c r="D19" i="13"/>
  <c r="D15" i="13"/>
  <c r="D11" i="13"/>
  <c r="D57" i="12"/>
  <c r="D56" i="12"/>
  <c r="D54" i="12"/>
  <c r="D53" i="12"/>
  <c r="D52" i="12"/>
  <c r="D49" i="12"/>
  <c r="D44" i="12"/>
  <c r="D43" i="12"/>
  <c r="D40" i="12"/>
  <c r="D36" i="12"/>
  <c r="D33" i="12"/>
  <c r="D30" i="12"/>
  <c r="D26" i="12"/>
  <c r="D25" i="12"/>
  <c r="D23" i="12"/>
  <c r="D22" i="12"/>
  <c r="D19" i="12"/>
  <c r="D18" i="12"/>
  <c r="D14" i="12"/>
  <c r="D13" i="12"/>
  <c r="D10" i="12"/>
  <c r="D7" i="12"/>
  <c r="D63" i="11"/>
  <c r="D58" i="11"/>
  <c r="D55" i="11"/>
  <c r="D54" i="11"/>
  <c r="D49" i="11"/>
  <c r="D45" i="11"/>
  <c r="D40" i="11"/>
  <c r="D35" i="11"/>
  <c r="D34" i="11"/>
  <c r="D31" i="11"/>
  <c r="D28" i="11"/>
  <c r="D27" i="11"/>
  <c r="D25" i="11"/>
  <c r="D23" i="11"/>
  <c r="D19" i="11"/>
  <c r="D18" i="11"/>
  <c r="D15" i="11"/>
  <c r="D11" i="11"/>
  <c r="D10" i="11"/>
  <c r="D7" i="11"/>
  <c r="D62" i="10"/>
  <c r="D57" i="10"/>
  <c r="D55" i="10"/>
  <c r="D53" i="10"/>
  <c r="D48" i="10"/>
  <c r="D46" i="10"/>
  <c r="D44" i="10"/>
  <c r="D39" i="10"/>
  <c r="D32" i="10"/>
  <c r="D31" i="10"/>
  <c r="D30" i="10"/>
  <c r="D26" i="10"/>
  <c r="D22" i="10"/>
  <c r="D18" i="10"/>
  <c r="D14" i="10"/>
  <c r="D10" i="10"/>
  <c r="D9" i="10"/>
  <c r="D62" i="9"/>
  <c r="D58" i="9"/>
  <c r="D55" i="9"/>
  <c r="D50" i="9"/>
  <c r="D49" i="9"/>
  <c r="D46" i="9"/>
  <c r="D44" i="9"/>
  <c r="D40" i="9"/>
  <c r="D35" i="9"/>
  <c r="D32" i="9"/>
  <c r="D31" i="9"/>
  <c r="D30" i="9"/>
  <c r="D28" i="9"/>
  <c r="D27" i="9"/>
  <c r="D23" i="9"/>
  <c r="D20" i="9"/>
  <c r="D19" i="9"/>
  <c r="D16" i="9"/>
  <c r="D15" i="9"/>
  <c r="D14" i="9"/>
  <c r="D12" i="9"/>
  <c r="D8" i="9"/>
  <c r="D60" i="8"/>
  <c r="D58" i="8"/>
  <c r="D56" i="8"/>
  <c r="D55" i="8"/>
  <c r="D54" i="8"/>
  <c r="D52" i="8"/>
  <c r="C51" i="8"/>
  <c r="D49" i="8"/>
  <c r="D47" i="8"/>
  <c r="D45" i="8"/>
  <c r="D44" i="8"/>
  <c r="D43" i="8"/>
  <c r="D36" i="8"/>
  <c r="D33" i="8"/>
  <c r="D30" i="8"/>
  <c r="D26" i="8"/>
  <c r="D25" i="8"/>
  <c r="D22" i="8"/>
  <c r="D18" i="8"/>
  <c r="D17" i="8"/>
  <c r="D14" i="8"/>
  <c r="D10" i="8"/>
  <c r="D9" i="8"/>
  <c r="D8" i="8"/>
  <c r="D62" i="7"/>
  <c r="D58" i="7"/>
  <c r="D54" i="7"/>
  <c r="D49" i="7"/>
  <c r="D48" i="7"/>
  <c r="D45" i="7"/>
  <c r="D44" i="7"/>
  <c r="D43" i="7"/>
  <c r="D40" i="7"/>
  <c r="D34" i="7"/>
  <c r="D31" i="7"/>
  <c r="D30" i="7"/>
  <c r="D27" i="7"/>
  <c r="D26" i="7"/>
  <c r="D25" i="7"/>
  <c r="D23" i="7"/>
  <c r="D19" i="7"/>
  <c r="D14" i="7"/>
  <c r="D13" i="7"/>
  <c r="D62" i="6"/>
  <c r="D57" i="6"/>
  <c r="D56" i="6"/>
  <c r="D53" i="6"/>
  <c r="D49" i="6"/>
  <c r="D48" i="6"/>
  <c r="D47" i="6"/>
  <c r="D45" i="6"/>
  <c r="D44" i="6"/>
  <c r="D43" i="6"/>
  <c r="D39" i="6"/>
  <c r="D36" i="6"/>
  <c r="D33" i="6"/>
  <c r="D30" i="6"/>
  <c r="D29" i="6"/>
  <c r="D27" i="6"/>
  <c r="D26" i="6"/>
  <c r="D25" i="6"/>
  <c r="D22" i="6"/>
  <c r="D21" i="6"/>
  <c r="D18" i="6"/>
  <c r="D17" i="6"/>
  <c r="D14" i="6"/>
  <c r="D13" i="6"/>
  <c r="D10" i="6"/>
  <c r="D9" i="6"/>
  <c r="D58" i="5"/>
  <c r="D57" i="5"/>
  <c r="D56" i="5"/>
  <c r="D54" i="5"/>
  <c r="D49" i="5"/>
  <c r="D39" i="5"/>
  <c r="D36" i="5"/>
  <c r="D31" i="5"/>
  <c r="D27" i="5"/>
  <c r="D23" i="5"/>
  <c r="D21" i="5"/>
  <c r="D19" i="5"/>
  <c r="D15" i="5"/>
  <c r="D11" i="5"/>
  <c r="D7" i="5"/>
  <c r="D58" i="3"/>
  <c r="D57" i="3"/>
  <c r="D56" i="3"/>
  <c r="D49" i="3"/>
  <c r="D48" i="3"/>
  <c r="D47" i="3"/>
  <c r="D45" i="3"/>
  <c r="D44" i="3"/>
  <c r="D43" i="3"/>
  <c r="D36" i="3"/>
  <c r="D33" i="3"/>
  <c r="D31" i="3"/>
  <c r="D30" i="3"/>
  <c r="D27" i="3"/>
  <c r="D26" i="3"/>
  <c r="D22" i="3"/>
  <c r="D20" i="3"/>
  <c r="D18" i="3"/>
  <c r="D14" i="3"/>
  <c r="D10" i="3"/>
  <c r="D62" i="18"/>
  <c r="D52" i="18"/>
  <c r="D47" i="18"/>
  <c r="D43" i="18"/>
  <c r="D42" i="18"/>
  <c r="D40" i="18"/>
  <c r="D34" i="18"/>
  <c r="D33" i="18"/>
  <c r="D30" i="18"/>
  <c r="D29" i="18"/>
  <c r="D26" i="18"/>
  <c r="D25" i="18"/>
  <c r="D21" i="18"/>
  <c r="D18" i="18"/>
  <c r="D17" i="18"/>
  <c r="D13" i="18"/>
  <c r="D10" i="18"/>
  <c r="D9" i="18"/>
  <c r="D36" i="19"/>
  <c r="D29" i="19"/>
  <c r="C51" i="3" l="1"/>
  <c r="D24" i="11"/>
  <c r="D6" i="11" s="1"/>
  <c r="C51" i="22"/>
  <c r="D24" i="15"/>
  <c r="D54" i="3"/>
  <c r="D24" i="13"/>
  <c r="D37" i="13" s="1"/>
  <c r="C59" i="10"/>
  <c r="C37" i="8"/>
  <c r="D24" i="9"/>
  <c r="D6" i="9" s="1"/>
  <c r="D7" i="8"/>
  <c r="D11" i="18"/>
  <c r="C51" i="11"/>
  <c r="C59" i="11"/>
  <c r="C41" i="22"/>
  <c r="D41" i="8"/>
  <c r="D41" i="6"/>
  <c r="C51" i="6"/>
  <c r="D55" i="6"/>
  <c r="C51" i="10"/>
  <c r="D60" i="10"/>
  <c r="D59" i="10" s="1"/>
  <c r="C59" i="22"/>
  <c r="D24" i="12"/>
  <c r="D6" i="12" s="1"/>
  <c r="D24" i="14"/>
  <c r="C37" i="3"/>
  <c r="C59" i="3"/>
  <c r="C51" i="18"/>
  <c r="C59" i="18"/>
  <c r="C37" i="17"/>
  <c r="C59" i="17"/>
  <c r="D9" i="3"/>
  <c r="D13" i="3"/>
  <c r="C41" i="5"/>
  <c r="D24" i="5"/>
  <c r="D6" i="5" s="1"/>
  <c r="D8" i="6"/>
  <c r="C41" i="7"/>
  <c r="D24" i="7"/>
  <c r="D37" i="7" s="1"/>
  <c r="C37" i="9"/>
  <c r="C51" i="15"/>
  <c r="D51" i="15"/>
  <c r="D51" i="16"/>
  <c r="C51" i="16"/>
  <c r="D59" i="16"/>
  <c r="D24" i="16"/>
  <c r="D51" i="17"/>
  <c r="D24" i="17"/>
  <c r="C41" i="18"/>
  <c r="C38" i="18" s="1"/>
  <c r="D53" i="18"/>
  <c r="D51" i="18" s="1"/>
  <c r="D59" i="22"/>
  <c r="D24" i="22"/>
  <c r="D37" i="22" s="1"/>
  <c r="D51" i="22"/>
  <c r="D7" i="22"/>
  <c r="C37" i="22"/>
  <c r="D42" i="22"/>
  <c r="D41" i="22" s="1"/>
  <c r="D41" i="18"/>
  <c r="D41" i="3"/>
  <c r="D24" i="18"/>
  <c r="D6" i="18" s="1"/>
  <c r="D59" i="18"/>
  <c r="C41" i="3"/>
  <c r="D41" i="7"/>
  <c r="C41" i="8"/>
  <c r="C38" i="8" s="1"/>
  <c r="D52" i="3"/>
  <c r="D51" i="3" s="1"/>
  <c r="D60" i="3"/>
  <c r="D59" i="3" s="1"/>
  <c r="C59" i="5"/>
  <c r="C51" i="7"/>
  <c r="C59" i="7"/>
  <c r="D11" i="9"/>
  <c r="C41" i="9"/>
  <c r="D7" i="10"/>
  <c r="D47" i="10"/>
  <c r="D41" i="10" s="1"/>
  <c r="C41" i="10"/>
  <c r="C37" i="5"/>
  <c r="D41" i="5"/>
  <c r="C41" i="6"/>
  <c r="C37" i="7"/>
  <c r="D51" i="8"/>
  <c r="D38" i="8" s="1"/>
  <c r="C51" i="9"/>
  <c r="D52" i="9"/>
  <c r="D51" i="9" s="1"/>
  <c r="D21" i="3"/>
  <c r="C51" i="5"/>
  <c r="D52" i="6"/>
  <c r="D60" i="6"/>
  <c r="D59" i="6" s="1"/>
  <c r="D11" i="3"/>
  <c r="D11" i="6"/>
  <c r="D11" i="8"/>
  <c r="C59" i="8"/>
  <c r="D42" i="9"/>
  <c r="D41" i="9" s="1"/>
  <c r="C59" i="9"/>
  <c r="D59" i="9"/>
  <c r="D39" i="11"/>
  <c r="D47" i="12"/>
  <c r="D41" i="12" s="1"/>
  <c r="C41" i="12"/>
  <c r="D7" i="14"/>
  <c r="C41" i="14"/>
  <c r="D42" i="14"/>
  <c r="D41" i="14" s="1"/>
  <c r="C37" i="15"/>
  <c r="D11" i="15"/>
  <c r="D37" i="5"/>
  <c r="D24" i="3"/>
  <c r="D51" i="5"/>
  <c r="D59" i="5"/>
  <c r="D24" i="6"/>
  <c r="D51" i="7"/>
  <c r="D59" i="7"/>
  <c r="D24" i="8"/>
  <c r="D59" i="8"/>
  <c r="D11" i="10"/>
  <c r="C37" i="10"/>
  <c r="D24" i="10"/>
  <c r="D40" i="10"/>
  <c r="D37" i="11"/>
  <c r="D41" i="11"/>
  <c r="D39" i="12"/>
  <c r="D51" i="10"/>
  <c r="D51" i="11"/>
  <c r="D59" i="11"/>
  <c r="D51" i="12"/>
  <c r="D59" i="12"/>
  <c r="C59" i="13"/>
  <c r="D60" i="13"/>
  <c r="D59" i="13" s="1"/>
  <c r="C37" i="11"/>
  <c r="C41" i="11"/>
  <c r="C37" i="12"/>
  <c r="C51" i="12"/>
  <c r="C59" i="12"/>
  <c r="D62" i="15"/>
  <c r="D59" i="15" s="1"/>
  <c r="C59" i="15"/>
  <c r="D7" i="17"/>
  <c r="C41" i="13"/>
  <c r="D42" i="13"/>
  <c r="D41" i="13" s="1"/>
  <c r="C59" i="14"/>
  <c r="D60" i="14"/>
  <c r="D59" i="14" s="1"/>
  <c r="D39" i="16"/>
  <c r="C51" i="17"/>
  <c r="C51" i="13"/>
  <c r="D52" i="13"/>
  <c r="D51" i="13" s="1"/>
  <c r="C51" i="14"/>
  <c r="D52" i="14"/>
  <c r="D51" i="14" s="1"/>
  <c r="D38" i="14" s="1"/>
  <c r="C37" i="16"/>
  <c r="D11" i="16"/>
  <c r="C41" i="16"/>
  <c r="D42" i="16"/>
  <c r="D41" i="16" s="1"/>
  <c r="C59" i="16"/>
  <c r="D59" i="17"/>
  <c r="C37" i="13"/>
  <c r="C37" i="14"/>
  <c r="D11" i="14"/>
  <c r="D7" i="15"/>
  <c r="D8" i="16"/>
  <c r="C41" i="15"/>
  <c r="C41" i="17"/>
  <c r="D13" i="17"/>
  <c r="D41" i="15"/>
  <c r="D41" i="17"/>
  <c r="D37" i="12" l="1"/>
  <c r="D6" i="17"/>
  <c r="D37" i="17"/>
  <c r="D6" i="3"/>
  <c r="D38" i="17"/>
  <c r="C38" i="11"/>
  <c r="D6" i="15"/>
  <c r="C38" i="13"/>
  <c r="D6" i="6"/>
  <c r="D6" i="16"/>
  <c r="D37" i="6"/>
  <c r="D6" i="22"/>
  <c r="D38" i="9"/>
  <c r="D37" i="9"/>
  <c r="C38" i="3"/>
  <c r="D6" i="8"/>
  <c r="D6" i="13"/>
  <c r="C38" i="17"/>
  <c r="D37" i="14"/>
  <c r="D6" i="14"/>
  <c r="D6" i="10"/>
  <c r="D6" i="7"/>
  <c r="D38" i="13"/>
  <c r="C38" i="12"/>
  <c r="D38" i="22"/>
  <c r="C38" i="16"/>
  <c r="C38" i="22"/>
  <c r="C38" i="7"/>
  <c r="D38" i="15"/>
  <c r="D37" i="16"/>
  <c r="D51" i="6"/>
  <c r="D38" i="6" s="1"/>
  <c r="C38" i="10"/>
  <c r="D38" i="7"/>
  <c r="D37" i="15"/>
  <c r="C38" i="5"/>
  <c r="C38" i="6"/>
  <c r="D37" i="3"/>
  <c r="D38" i="5"/>
  <c r="C38" i="9"/>
  <c r="D37" i="10"/>
  <c r="D38" i="10"/>
  <c r="C38" i="15"/>
  <c r="D37" i="18"/>
  <c r="D38" i="18"/>
  <c r="D38" i="11"/>
  <c r="D38" i="3"/>
  <c r="D38" i="16"/>
  <c r="D38" i="12"/>
  <c r="C38" i="14"/>
  <c r="D37" i="8"/>
  <c r="C36" i="20" l="1"/>
  <c r="C56" i="23" s="1"/>
  <c r="F36" i="19"/>
  <c r="F36" i="18"/>
  <c r="F36" i="17"/>
  <c r="F36" i="16"/>
  <c r="F36" i="15"/>
  <c r="F36" i="14"/>
  <c r="F36" i="13"/>
  <c r="F36" i="12"/>
  <c r="F36" i="11"/>
  <c r="F36" i="10"/>
  <c r="F36" i="9"/>
  <c r="F36" i="8"/>
  <c r="F36" i="7"/>
  <c r="F36" i="6"/>
  <c r="F36" i="5"/>
  <c r="F36" i="3"/>
  <c r="F36" i="22"/>
  <c r="E36" i="18"/>
  <c r="E36" i="17"/>
  <c r="E36" i="16"/>
  <c r="E36" i="15"/>
  <c r="E36" i="14"/>
  <c r="E36" i="13"/>
  <c r="E36" i="12"/>
  <c r="E36" i="11"/>
  <c r="E36" i="10"/>
  <c r="E36" i="9"/>
  <c r="E36" i="8"/>
  <c r="E36" i="7"/>
  <c r="E36" i="6"/>
  <c r="E36" i="5"/>
  <c r="E36" i="3"/>
  <c r="D36" i="20" l="1"/>
  <c r="D56" i="23" s="1"/>
  <c r="E56" i="23" s="1"/>
  <c r="E36" i="19"/>
  <c r="E36" i="22"/>
  <c r="D9" i="19"/>
  <c r="D10" i="19"/>
  <c r="D11" i="19"/>
  <c r="D12" i="19"/>
  <c r="F56" i="23" l="1"/>
  <c r="F36" i="20"/>
  <c r="E36" i="20"/>
  <c r="F25" i="13"/>
  <c r="F14" i="12"/>
  <c r="E10" i="17"/>
  <c r="E10" i="13"/>
  <c r="E14" i="9"/>
  <c r="E12" i="19"/>
  <c r="E57" i="8"/>
  <c r="D23" i="23"/>
  <c r="F23" i="23" s="1"/>
  <c r="F35" i="10"/>
  <c r="F80" i="23"/>
  <c r="E52" i="22"/>
  <c r="E40" i="22"/>
  <c r="F29" i="6"/>
  <c r="F11" i="6"/>
  <c r="E11" i="15"/>
  <c r="E10" i="15"/>
  <c r="E29" i="7"/>
  <c r="F29" i="8"/>
  <c r="F29" i="9"/>
  <c r="E29" i="13"/>
  <c r="E29" i="18"/>
  <c r="E29" i="19"/>
  <c r="E30" i="5"/>
  <c r="F30" i="9"/>
  <c r="E30" i="12"/>
  <c r="F30" i="16"/>
  <c r="E30" i="18"/>
  <c r="D30" i="19"/>
  <c r="F30" i="19" s="1"/>
  <c r="F9" i="6"/>
  <c r="E9" i="7"/>
  <c r="E9" i="8"/>
  <c r="E9" i="11"/>
  <c r="E9" i="13"/>
  <c r="F9" i="17"/>
  <c r="F10" i="5"/>
  <c r="F10" i="7"/>
  <c r="F10" i="8"/>
  <c r="F10" i="9"/>
  <c r="E10" i="10"/>
  <c r="F10" i="11"/>
  <c r="F10" i="12"/>
  <c r="E10" i="14"/>
  <c r="F10" i="16"/>
  <c r="F10" i="18"/>
  <c r="D10" i="23"/>
  <c r="E10" i="23" s="1"/>
  <c r="F11" i="3"/>
  <c r="E11" i="8"/>
  <c r="F11" i="11"/>
  <c r="E11" i="13"/>
  <c r="F11" i="18"/>
  <c r="D11" i="23"/>
  <c r="E11" i="23" s="1"/>
  <c r="F9" i="15"/>
  <c r="F29" i="15"/>
  <c r="D35" i="19"/>
  <c r="E35" i="19" s="1"/>
  <c r="E57" i="22"/>
  <c r="D22" i="19"/>
  <c r="D18" i="19"/>
  <c r="F18" i="19" s="1"/>
  <c r="D14" i="19"/>
  <c r="D8" i="19"/>
  <c r="F8" i="19" s="1"/>
  <c r="F16" i="17"/>
  <c r="F12" i="13"/>
  <c r="E22" i="12"/>
  <c r="F21" i="12"/>
  <c r="E13" i="12"/>
  <c r="E22" i="11"/>
  <c r="E12" i="11"/>
  <c r="E32" i="7"/>
  <c r="E20" i="7"/>
  <c r="E13" i="7"/>
  <c r="E22" i="5"/>
  <c r="E12" i="5"/>
  <c r="F13" i="5"/>
  <c r="E22" i="3"/>
  <c r="E12" i="3"/>
  <c r="E12" i="13"/>
  <c r="D15" i="19"/>
  <c r="E15" i="19" s="1"/>
  <c r="D16" i="19"/>
  <c r="D17" i="19"/>
  <c r="F14" i="16"/>
  <c r="E17" i="16"/>
  <c r="F21" i="16"/>
  <c r="E19" i="15"/>
  <c r="F21" i="15"/>
  <c r="F25" i="15"/>
  <c r="E27" i="15"/>
  <c r="E28" i="15"/>
  <c r="E32" i="15"/>
  <c r="F14" i="8"/>
  <c r="F15" i="8"/>
  <c r="F17" i="8"/>
  <c r="E20" i="8"/>
  <c r="E22" i="8"/>
  <c r="E25" i="8"/>
  <c r="F26" i="8"/>
  <c r="E32" i="8"/>
  <c r="F23" i="6"/>
  <c r="F26" i="6"/>
  <c r="E27" i="6"/>
  <c r="E31" i="6"/>
  <c r="E32" i="6"/>
  <c r="E8" i="18"/>
  <c r="F17" i="18"/>
  <c r="E18" i="18"/>
  <c r="F19" i="18"/>
  <c r="E21" i="18"/>
  <c r="E22" i="18"/>
  <c r="E23" i="18"/>
  <c r="F26" i="18"/>
  <c r="F27" i="18"/>
  <c r="C51" i="19"/>
  <c r="C41" i="19"/>
  <c r="F40" i="18"/>
  <c r="E43" i="18"/>
  <c r="F48" i="18"/>
  <c r="E50" i="18"/>
  <c r="F53" i="18"/>
  <c r="E58" i="18"/>
  <c r="F40" i="17"/>
  <c r="E42" i="17"/>
  <c r="E43" i="17"/>
  <c r="E47" i="17"/>
  <c r="F52" i="17"/>
  <c r="E56" i="17"/>
  <c r="F57" i="17"/>
  <c r="F58" i="17"/>
  <c r="E40" i="16"/>
  <c r="E43" i="16"/>
  <c r="E45" i="16"/>
  <c r="E48" i="16"/>
  <c r="F50" i="16"/>
  <c r="E52" i="16"/>
  <c r="E55" i="16"/>
  <c r="F40" i="15"/>
  <c r="E44" i="15"/>
  <c r="E46" i="15"/>
  <c r="F48" i="15"/>
  <c r="E50" i="15"/>
  <c r="E52" i="15"/>
  <c r="F53" i="15"/>
  <c r="E56" i="15"/>
  <c r="E58" i="15"/>
  <c r="F42" i="14"/>
  <c r="E45" i="14"/>
  <c r="E49" i="14"/>
  <c r="E52" i="14"/>
  <c r="E53" i="14"/>
  <c r="E56" i="14"/>
  <c r="E57" i="14"/>
  <c r="E42" i="13"/>
  <c r="F43" i="13"/>
  <c r="F47" i="13"/>
  <c r="F48" i="13"/>
  <c r="E49" i="13"/>
  <c r="E50" i="13"/>
  <c r="E52" i="13"/>
  <c r="F53" i="13"/>
  <c r="E55" i="13"/>
  <c r="F58" i="13"/>
  <c r="E42" i="12"/>
  <c r="F43" i="12"/>
  <c r="E44" i="12"/>
  <c r="E45" i="12"/>
  <c r="F47" i="12"/>
  <c r="F52" i="12"/>
  <c r="F55" i="12"/>
  <c r="E56" i="12"/>
  <c r="E57" i="12"/>
  <c r="F42" i="11"/>
  <c r="E44" i="11"/>
  <c r="E46" i="11"/>
  <c r="F47" i="11"/>
  <c r="E50" i="11"/>
  <c r="E52" i="11"/>
  <c r="E54" i="11"/>
  <c r="F57" i="11"/>
  <c r="F40" i="10"/>
  <c r="F43" i="10"/>
  <c r="F44" i="10"/>
  <c r="F45" i="10"/>
  <c r="E47" i="10"/>
  <c r="E50" i="10"/>
  <c r="E52" i="10"/>
  <c r="F53" i="10"/>
  <c r="F55" i="10"/>
  <c r="E58" i="10"/>
  <c r="E40" i="9"/>
  <c r="E42" i="9"/>
  <c r="E46" i="9"/>
  <c r="F47" i="9"/>
  <c r="E53" i="9"/>
  <c r="E54" i="9"/>
  <c r="F55" i="9"/>
  <c r="E57" i="9"/>
  <c r="F42" i="8"/>
  <c r="E43" i="8"/>
  <c r="E45" i="8"/>
  <c r="E47" i="8"/>
  <c r="F48" i="8"/>
  <c r="E49" i="8"/>
  <c r="F50" i="8"/>
  <c r="E52" i="8"/>
  <c r="E53" i="8"/>
  <c r="E58" i="8"/>
  <c r="F40" i="7"/>
  <c r="E44" i="7"/>
  <c r="F47" i="7"/>
  <c r="E52" i="7"/>
  <c r="E53" i="7"/>
  <c r="E55" i="7"/>
  <c r="F57" i="7"/>
  <c r="F58" i="7"/>
  <c r="F40" i="6"/>
  <c r="E42" i="6"/>
  <c r="F43" i="6"/>
  <c r="F44" i="6"/>
  <c r="F49" i="6"/>
  <c r="E53" i="6"/>
  <c r="E55" i="6"/>
  <c r="F57" i="6"/>
  <c r="E40" i="5"/>
  <c r="E42" i="5"/>
  <c r="E43" i="5"/>
  <c r="F44" i="5"/>
  <c r="F47" i="5"/>
  <c r="E48" i="5"/>
  <c r="E50" i="5"/>
  <c r="E54" i="5"/>
  <c r="F55" i="5"/>
  <c r="F57" i="5"/>
  <c r="F58" i="5"/>
  <c r="E40" i="3"/>
  <c r="E43" i="3"/>
  <c r="E45" i="3"/>
  <c r="F47" i="3"/>
  <c r="E48" i="3"/>
  <c r="E54" i="3"/>
  <c r="E56" i="3"/>
  <c r="D40" i="19"/>
  <c r="D42" i="19"/>
  <c r="D43" i="19"/>
  <c r="F43" i="19" s="1"/>
  <c r="D44" i="19"/>
  <c r="E44" i="19" s="1"/>
  <c r="D45" i="19"/>
  <c r="D46" i="19"/>
  <c r="D47" i="19"/>
  <c r="F47" i="19" s="1"/>
  <c r="D48" i="19"/>
  <c r="D49" i="19"/>
  <c r="D50" i="19"/>
  <c r="D52" i="19"/>
  <c r="D53" i="19"/>
  <c r="D54" i="19"/>
  <c r="D55" i="19"/>
  <c r="F55" i="19" s="1"/>
  <c r="D56" i="19"/>
  <c r="E56" i="19" s="1"/>
  <c r="D57" i="19"/>
  <c r="D58" i="19"/>
  <c r="E58" i="19" s="1"/>
  <c r="F39" i="17"/>
  <c r="E39" i="16"/>
  <c r="E39" i="15"/>
  <c r="F39" i="13"/>
  <c r="E39" i="12"/>
  <c r="E39" i="9"/>
  <c r="E39" i="8"/>
  <c r="E39" i="7"/>
  <c r="F39" i="3"/>
  <c r="D39" i="19"/>
  <c r="E39" i="19" s="1"/>
  <c r="F40" i="22"/>
  <c r="D31" i="19"/>
  <c r="D32" i="19"/>
  <c r="E32" i="19" s="1"/>
  <c r="D33" i="19"/>
  <c r="D34" i="19"/>
  <c r="D60" i="19"/>
  <c r="E60" i="19" s="1"/>
  <c r="F61" i="19"/>
  <c r="D62" i="19"/>
  <c r="E62" i="19" s="1"/>
  <c r="F63" i="19"/>
  <c r="E8" i="13"/>
  <c r="E13" i="13"/>
  <c r="E19" i="13"/>
  <c r="E31" i="13"/>
  <c r="E32" i="13"/>
  <c r="F14" i="5"/>
  <c r="E16" i="5"/>
  <c r="F17" i="5"/>
  <c r="E18" i="5"/>
  <c r="F19" i="5"/>
  <c r="E20" i="5"/>
  <c r="E21" i="5"/>
  <c r="E23" i="5"/>
  <c r="F25" i="5"/>
  <c r="F27" i="5"/>
  <c r="F13" i="14"/>
  <c r="F14" i="14"/>
  <c r="F20" i="14"/>
  <c r="F22" i="14"/>
  <c r="E23" i="14"/>
  <c r="E25" i="14"/>
  <c r="F27" i="14"/>
  <c r="E28" i="14"/>
  <c r="F8" i="11"/>
  <c r="E14" i="11"/>
  <c r="E17" i="11"/>
  <c r="F19" i="11"/>
  <c r="E21" i="11"/>
  <c r="E23" i="11"/>
  <c r="E27" i="11"/>
  <c r="E28" i="11"/>
  <c r="F32" i="11"/>
  <c r="E25" i="3"/>
  <c r="E14" i="17"/>
  <c r="E18" i="17"/>
  <c r="E20" i="17"/>
  <c r="F22" i="17"/>
  <c r="E23" i="17"/>
  <c r="E26" i="17"/>
  <c r="E31" i="17"/>
  <c r="F14" i="10"/>
  <c r="F19" i="10"/>
  <c r="E20" i="10"/>
  <c r="E22" i="10"/>
  <c r="F23" i="10"/>
  <c r="F25" i="10"/>
  <c r="F26" i="10"/>
  <c r="E28" i="10"/>
  <c r="E33" i="10"/>
  <c r="F15" i="7"/>
  <c r="E17" i="7"/>
  <c r="E21" i="7"/>
  <c r="E22" i="7"/>
  <c r="E33" i="7"/>
  <c r="D13" i="19"/>
  <c r="E13" i="19" s="1"/>
  <c r="D19" i="19"/>
  <c r="E19" i="19" s="1"/>
  <c r="D20" i="19"/>
  <c r="D21" i="19"/>
  <c r="E21" i="19" s="1"/>
  <c r="D23" i="19"/>
  <c r="F23" i="19" s="1"/>
  <c r="D25" i="19"/>
  <c r="D26" i="19"/>
  <c r="D27" i="19"/>
  <c r="E27" i="19" s="1"/>
  <c r="D28" i="19"/>
  <c r="E28" i="19" s="1"/>
  <c r="D7" i="19"/>
  <c r="F29" i="13"/>
  <c r="E20" i="12"/>
  <c r="E23" i="12"/>
  <c r="F25" i="12"/>
  <c r="E26" i="12"/>
  <c r="E33" i="12"/>
  <c r="F8" i="9"/>
  <c r="E23" i="9"/>
  <c r="E28" i="9"/>
  <c r="E31" i="9"/>
  <c r="F9" i="18"/>
  <c r="E13" i="18"/>
  <c r="E9" i="15"/>
  <c r="E22" i="23"/>
  <c r="C22" i="20"/>
  <c r="C42" i="23" s="1"/>
  <c r="F22" i="9"/>
  <c r="F16" i="12"/>
  <c r="E18" i="12"/>
  <c r="E16" i="9"/>
  <c r="E20" i="9"/>
  <c r="E22" i="9"/>
  <c r="E16" i="6"/>
  <c r="E35" i="17"/>
  <c r="F35" i="16"/>
  <c r="E35" i="15"/>
  <c r="F35" i="12"/>
  <c r="F35" i="11"/>
  <c r="F35" i="7"/>
  <c r="F32" i="3"/>
  <c r="E33" i="3"/>
  <c r="F18" i="15"/>
  <c r="F12" i="9"/>
  <c r="E15" i="6"/>
  <c r="F14" i="3"/>
  <c r="F23" i="3"/>
  <c r="E27" i="3"/>
  <c r="E28" i="3"/>
  <c r="F13" i="18"/>
  <c r="F31" i="18"/>
  <c r="F31" i="16"/>
  <c r="F31" i="14"/>
  <c r="F31" i="12"/>
  <c r="F31" i="10"/>
  <c r="F31" i="8"/>
  <c r="E12" i="18"/>
  <c r="F26" i="9"/>
  <c r="F32" i="18"/>
  <c r="F57" i="22"/>
  <c r="F46" i="9"/>
  <c r="F18" i="3"/>
  <c r="F28" i="3"/>
  <c r="F31" i="3"/>
  <c r="F33" i="3"/>
  <c r="E34" i="3"/>
  <c r="F34" i="3"/>
  <c r="F45" i="3"/>
  <c r="F46" i="3"/>
  <c r="F54" i="3"/>
  <c r="F56" i="3"/>
  <c r="E60" i="3"/>
  <c r="F60" i="3"/>
  <c r="F62" i="3"/>
  <c r="F63" i="3"/>
  <c r="F28" i="5"/>
  <c r="F33" i="5"/>
  <c r="F34" i="5"/>
  <c r="F45" i="5"/>
  <c r="F46" i="5"/>
  <c r="F49" i="5"/>
  <c r="F54" i="5"/>
  <c r="F56" i="5"/>
  <c r="F61" i="5"/>
  <c r="E62" i="5"/>
  <c r="F62" i="5"/>
  <c r="F64" i="5"/>
  <c r="F28" i="6"/>
  <c r="F33" i="6"/>
  <c r="F34" i="6"/>
  <c r="F45" i="6"/>
  <c r="F46" i="6"/>
  <c r="F54" i="6"/>
  <c r="F56" i="6"/>
  <c r="F60" i="6"/>
  <c r="F62" i="6"/>
  <c r="F28" i="7"/>
  <c r="F31" i="7"/>
  <c r="F33" i="7"/>
  <c r="F34" i="7"/>
  <c r="F45" i="7"/>
  <c r="F46" i="7"/>
  <c r="F54" i="7"/>
  <c r="F56" i="7"/>
  <c r="F60" i="7"/>
  <c r="F62" i="7"/>
  <c r="F28" i="8"/>
  <c r="F33" i="8"/>
  <c r="F34" i="8"/>
  <c r="F43" i="8"/>
  <c r="F46" i="8"/>
  <c r="F54" i="8"/>
  <c r="F56" i="8"/>
  <c r="F61" i="8"/>
  <c r="F62" i="8"/>
  <c r="E64" i="8"/>
  <c r="F28" i="9"/>
  <c r="F33" i="9"/>
  <c r="F34" i="9"/>
  <c r="F54" i="9"/>
  <c r="F56" i="9"/>
  <c r="E62" i="9"/>
  <c r="F62" i="9"/>
  <c r="F28" i="10"/>
  <c r="F30" i="10"/>
  <c r="F33" i="10"/>
  <c r="F34" i="10"/>
  <c r="F46" i="10"/>
  <c r="F50" i="10"/>
  <c r="F54" i="10"/>
  <c r="F56" i="10"/>
  <c r="F60" i="10"/>
  <c r="E61" i="10"/>
  <c r="F62" i="10"/>
  <c r="F28" i="11"/>
  <c r="F33" i="11"/>
  <c r="E34" i="11"/>
  <c r="F34" i="11"/>
  <c r="F45" i="11"/>
  <c r="F46" i="11"/>
  <c r="F54" i="11"/>
  <c r="F56" i="11"/>
  <c r="F60" i="11"/>
  <c r="F62" i="11"/>
  <c r="F64" i="11"/>
  <c r="F28" i="12"/>
  <c r="F33" i="12"/>
  <c r="F34" i="12"/>
  <c r="F42" i="12"/>
  <c r="F45" i="12"/>
  <c r="F46" i="12"/>
  <c r="F54" i="12"/>
  <c r="F56" i="12"/>
  <c r="E58" i="12"/>
  <c r="F60" i="12"/>
  <c r="F61" i="12"/>
  <c r="F62" i="12"/>
  <c r="E16" i="13"/>
  <c r="F16" i="13"/>
  <c r="F28" i="13"/>
  <c r="F30" i="13"/>
  <c r="F33" i="13"/>
  <c r="F34" i="13"/>
  <c r="F46" i="13"/>
  <c r="F54" i="13"/>
  <c r="F56" i="13"/>
  <c r="F60" i="13"/>
  <c r="E61" i="13"/>
  <c r="F62" i="13"/>
  <c r="F28" i="14"/>
  <c r="F33" i="14"/>
  <c r="F34" i="14"/>
  <c r="F45" i="14"/>
  <c r="F46" i="14"/>
  <c r="E48" i="14"/>
  <c r="F54" i="14"/>
  <c r="F56" i="14"/>
  <c r="F60" i="14"/>
  <c r="E61" i="14"/>
  <c r="F62" i="14"/>
  <c r="F28" i="15"/>
  <c r="F30" i="15"/>
  <c r="F31" i="15"/>
  <c r="F33" i="15"/>
  <c r="F34" i="15"/>
  <c r="F45" i="15"/>
  <c r="F46" i="15"/>
  <c r="F54" i="15"/>
  <c r="F56" i="15"/>
  <c r="F60" i="15"/>
  <c r="F62" i="15"/>
  <c r="F63" i="15"/>
  <c r="F28" i="16"/>
  <c r="F33" i="16"/>
  <c r="F34" i="16"/>
  <c r="F44" i="16"/>
  <c r="F46" i="16"/>
  <c r="F54" i="16"/>
  <c r="F56" i="16"/>
  <c r="F60" i="16"/>
  <c r="F62" i="16"/>
  <c r="F28" i="17"/>
  <c r="F33" i="17"/>
  <c r="F34" i="17"/>
  <c r="F45" i="17"/>
  <c r="F46" i="17"/>
  <c r="F54" i="17"/>
  <c r="F56" i="17"/>
  <c r="F60" i="17"/>
  <c r="E61" i="17"/>
  <c r="E62" i="17"/>
  <c r="F62" i="17"/>
  <c r="F28" i="18"/>
  <c r="E32" i="18"/>
  <c r="F33" i="18"/>
  <c r="F34" i="18"/>
  <c r="F46" i="18"/>
  <c r="F50" i="18"/>
  <c r="F54" i="18"/>
  <c r="F56" i="18"/>
  <c r="F60" i="18"/>
  <c r="F62" i="18"/>
  <c r="F63" i="18"/>
  <c r="F28" i="19"/>
  <c r="F31" i="19"/>
  <c r="F33" i="19"/>
  <c r="F34" i="19"/>
  <c r="F46" i="19"/>
  <c r="F54" i="19"/>
  <c r="F56" i="19"/>
  <c r="C59" i="19"/>
  <c r="F60" i="19"/>
  <c r="F62" i="19"/>
  <c r="C7" i="20"/>
  <c r="C8" i="20"/>
  <c r="C9" i="20"/>
  <c r="C10" i="20"/>
  <c r="C11" i="20"/>
  <c r="C12" i="20"/>
  <c r="C13" i="20"/>
  <c r="C14" i="20"/>
  <c r="C15" i="20"/>
  <c r="C16" i="20"/>
  <c r="C17" i="20"/>
  <c r="C37" i="23" s="1"/>
  <c r="C18" i="20"/>
  <c r="C38" i="23" s="1"/>
  <c r="C19" i="20"/>
  <c r="C39" i="23" s="1"/>
  <c r="C20" i="20"/>
  <c r="C40" i="23" s="1"/>
  <c r="C21" i="20"/>
  <c r="C41" i="23" s="1"/>
  <c r="C23" i="20"/>
  <c r="C43" i="23" s="1"/>
  <c r="C26" i="20"/>
  <c r="C46" i="23" s="1"/>
  <c r="C27" i="20"/>
  <c r="C47" i="23" s="1"/>
  <c r="C28" i="20"/>
  <c r="C29" i="20"/>
  <c r="C49" i="23" s="1"/>
  <c r="C30" i="20"/>
  <c r="C50" i="23" s="1"/>
  <c r="C31" i="20"/>
  <c r="C51" i="23" s="1"/>
  <c r="F51" i="23" s="1"/>
  <c r="C32" i="20"/>
  <c r="C52" i="23" s="1"/>
  <c r="C33" i="20"/>
  <c r="C34" i="20"/>
  <c r="F34" i="20" s="1"/>
  <c r="C35" i="20"/>
  <c r="C55" i="23" s="1"/>
  <c r="C39" i="20"/>
  <c r="C60" i="23" s="1"/>
  <c r="C40" i="20"/>
  <c r="C61" i="23" s="1"/>
  <c r="C42" i="20"/>
  <c r="C63" i="23" s="1"/>
  <c r="C43" i="20"/>
  <c r="C64" i="23" s="1"/>
  <c r="C44" i="20"/>
  <c r="C65" i="23" s="1"/>
  <c r="C45" i="20"/>
  <c r="C66" i="23" s="1"/>
  <c r="C46" i="20"/>
  <c r="C47" i="20"/>
  <c r="C48" i="20"/>
  <c r="C69" i="23" s="1"/>
  <c r="C49" i="20"/>
  <c r="C70" i="23" s="1"/>
  <c r="C50" i="20"/>
  <c r="C71" i="23" s="1"/>
  <c r="C52" i="20"/>
  <c r="C53" i="20"/>
  <c r="C74" i="23" s="1"/>
  <c r="C54" i="20"/>
  <c r="C75" i="23" s="1"/>
  <c r="F75" i="23" s="1"/>
  <c r="C55" i="20"/>
  <c r="C76" i="23" s="1"/>
  <c r="C56" i="20"/>
  <c r="C77" i="23" s="1"/>
  <c r="C57" i="20"/>
  <c r="C78" i="23" s="1"/>
  <c r="C58" i="20"/>
  <c r="C79" i="23" s="1"/>
  <c r="C60" i="20"/>
  <c r="C82" i="23" s="1"/>
  <c r="C61" i="20"/>
  <c r="C83" i="23" s="1"/>
  <c r="C62" i="20"/>
  <c r="C84" i="23" s="1"/>
  <c r="C63" i="20"/>
  <c r="C85" i="23" s="1"/>
  <c r="C64" i="20"/>
  <c r="C89" i="23" s="1"/>
  <c r="F17" i="22"/>
  <c r="E18" i="22"/>
  <c r="F18" i="22"/>
  <c r="F19" i="22"/>
  <c r="F20" i="22"/>
  <c r="F21" i="22"/>
  <c r="E23" i="22"/>
  <c r="F23" i="22"/>
  <c r="F25" i="22"/>
  <c r="F26" i="22"/>
  <c r="E27" i="22"/>
  <c r="F27" i="22"/>
  <c r="F29" i="22"/>
  <c r="F30" i="22"/>
  <c r="F31" i="22"/>
  <c r="F32" i="22"/>
  <c r="F33" i="22"/>
  <c r="F34" i="22"/>
  <c r="E35" i="22"/>
  <c r="F35" i="22"/>
  <c r="E44" i="22"/>
  <c r="F44" i="22"/>
  <c r="F46" i="22"/>
  <c r="E47" i="22"/>
  <c r="E54" i="22"/>
  <c r="F54" i="22"/>
  <c r="F56" i="22"/>
  <c r="E58" i="22"/>
  <c r="F60" i="22"/>
  <c r="E61" i="22"/>
  <c r="F62" i="22"/>
  <c r="F63" i="22"/>
  <c r="E64" i="22"/>
  <c r="F64" i="22"/>
  <c r="C6" i="23"/>
  <c r="D7" i="23"/>
  <c r="E7" i="23" s="1"/>
  <c r="D8" i="23"/>
  <c r="E8" i="23" s="1"/>
  <c r="C9" i="23"/>
  <c r="F10" i="23"/>
  <c r="F11" i="23"/>
  <c r="C12" i="23"/>
  <c r="D13" i="23"/>
  <c r="F13" i="23" s="1"/>
  <c r="D14" i="23"/>
  <c r="E14" i="23" s="1"/>
  <c r="C15" i="23"/>
  <c r="D16" i="23"/>
  <c r="E16" i="23" s="1"/>
  <c r="D17" i="23"/>
  <c r="F17" i="23" s="1"/>
  <c r="E18" i="23"/>
  <c r="D20" i="23"/>
  <c r="E20" i="23" s="1"/>
  <c r="D21" i="23"/>
  <c r="E21" i="23" s="1"/>
  <c r="F21" i="23"/>
  <c r="D25" i="23"/>
  <c r="C86" i="23"/>
  <c r="E87" i="23"/>
  <c r="E88" i="23"/>
  <c r="C25" i="20"/>
  <c r="C45" i="23" s="1"/>
  <c r="F48" i="9"/>
  <c r="F45" i="9"/>
  <c r="F16" i="15"/>
  <c r="F18" i="12"/>
  <c r="F52" i="22"/>
  <c r="F12" i="18"/>
  <c r="E26" i="9"/>
  <c r="F14" i="15"/>
  <c r="E14" i="15"/>
  <c r="F15" i="15"/>
  <c r="E18" i="15"/>
  <c r="F61" i="22"/>
  <c r="F39" i="22"/>
  <c r="F45" i="22"/>
  <c r="E39" i="22"/>
  <c r="E62" i="22"/>
  <c r="E60" i="22"/>
  <c r="E48" i="22"/>
  <c r="E43" i="22"/>
  <c r="E31" i="22"/>
  <c r="E30" i="22"/>
  <c r="E29" i="22"/>
  <c r="E46" i="12"/>
  <c r="E45" i="6"/>
  <c r="F31" i="5"/>
  <c r="E13" i="6"/>
  <c r="F31" i="13"/>
  <c r="E15" i="15"/>
  <c r="F31" i="17"/>
  <c r="F31" i="11"/>
  <c r="F31" i="9"/>
  <c r="E19" i="3"/>
  <c r="F19" i="3"/>
  <c r="F31" i="6"/>
  <c r="E15" i="10"/>
  <c r="F15" i="6"/>
  <c r="E19" i="9"/>
  <c r="E47" i="7"/>
  <c r="E15" i="12"/>
  <c r="E18" i="3"/>
  <c r="E12" i="9"/>
  <c r="F7" i="16"/>
  <c r="F11" i="15"/>
  <c r="F21" i="6"/>
  <c r="E21" i="6"/>
  <c r="F17" i="15"/>
  <c r="E17" i="15"/>
  <c r="E13" i="15"/>
  <c r="F12" i="15"/>
  <c r="E25" i="9"/>
  <c r="F13" i="15"/>
  <c r="F16" i="6"/>
  <c r="E12" i="15"/>
  <c r="F30" i="8"/>
  <c r="F20" i="9"/>
  <c r="E16" i="15"/>
  <c r="E16" i="12"/>
  <c r="F13" i="6"/>
  <c r="F16" i="9"/>
  <c r="E20" i="6"/>
  <c r="F20" i="6"/>
  <c r="E12" i="17"/>
  <c r="F12" i="6"/>
  <c r="E12" i="6"/>
  <c r="F32" i="9"/>
  <c r="F17" i="6"/>
  <c r="E32" i="9"/>
  <c r="E17" i="6"/>
  <c r="F8" i="6"/>
  <c r="E8" i="6"/>
  <c r="E14" i="6"/>
  <c r="F14" i="6"/>
  <c r="E19" i="6"/>
  <c r="F19" i="6"/>
  <c r="F30" i="12"/>
  <c r="E12" i="8"/>
  <c r="F18" i="6"/>
  <c r="E18" i="6"/>
  <c r="F14" i="9"/>
  <c r="F18" i="9"/>
  <c r="E18" i="9"/>
  <c r="F22" i="22"/>
  <c r="E22" i="22"/>
  <c r="F43" i="22"/>
  <c r="F47" i="22"/>
  <c r="E56" i="22"/>
  <c r="F48" i="22"/>
  <c r="F21" i="9"/>
  <c r="E21" i="9"/>
  <c r="E17" i="9"/>
  <c r="F13" i="9"/>
  <c r="E13" i="9"/>
  <c r="F19" i="12"/>
  <c r="E19" i="12"/>
  <c r="F15" i="12"/>
  <c r="F17" i="13"/>
  <c r="F17" i="9"/>
  <c r="F15" i="18"/>
  <c r="E15" i="18"/>
  <c r="E11" i="18"/>
  <c r="F27" i="9"/>
  <c r="E27" i="9"/>
  <c r="F23" i="9"/>
  <c r="E15" i="9"/>
  <c r="E11" i="9"/>
  <c r="F25" i="9"/>
  <c r="F15" i="9"/>
  <c r="F14" i="18"/>
  <c r="E14" i="18"/>
  <c r="F10" i="17"/>
  <c r="F18" i="13"/>
  <c r="E10" i="9"/>
  <c r="F14" i="13"/>
  <c r="E14" i="13"/>
  <c r="F19" i="9"/>
  <c r="F12" i="17"/>
  <c r="E11" i="17"/>
  <c r="F11" i="17"/>
  <c r="F15" i="13"/>
  <c r="E18" i="13"/>
  <c r="F13" i="17"/>
  <c r="E13" i="17"/>
  <c r="E22" i="14"/>
  <c r="F20" i="13"/>
  <c r="E15" i="13"/>
  <c r="F21" i="13"/>
  <c r="E21" i="13"/>
  <c r="F19" i="13"/>
  <c r="F13" i="13"/>
  <c r="E20" i="13"/>
  <c r="F23" i="13"/>
  <c r="E23" i="13"/>
  <c r="E17" i="13"/>
  <c r="F22" i="13"/>
  <c r="E22" i="13"/>
  <c r="F9" i="13"/>
  <c r="F9" i="19"/>
  <c r="E53" i="10"/>
  <c r="F57" i="14"/>
  <c r="F42" i="16"/>
  <c r="F40" i="11"/>
  <c r="E48" i="10"/>
  <c r="F48" i="10"/>
  <c r="F15" i="17"/>
  <c r="E14" i="12"/>
  <c r="E17" i="12"/>
  <c r="F17" i="12"/>
  <c r="F26" i="7"/>
  <c r="E26" i="7"/>
  <c r="E25" i="7"/>
  <c r="F25" i="7"/>
  <c r="E9" i="18"/>
  <c r="F10" i="19"/>
  <c r="F10" i="13"/>
  <c r="E10" i="18"/>
  <c r="E10" i="19"/>
  <c r="F11" i="9"/>
  <c r="F11" i="13"/>
  <c r="F11" i="19"/>
  <c r="E11" i="19"/>
  <c r="F10" i="15"/>
  <c r="E9" i="6"/>
  <c r="E9" i="19"/>
  <c r="E30" i="6"/>
  <c r="E11" i="6"/>
  <c r="E10" i="6"/>
  <c r="F10" i="6"/>
  <c r="F50" i="22"/>
  <c r="F12" i="19"/>
  <c r="F25" i="19" l="1"/>
  <c r="D24" i="19"/>
  <c r="D6" i="19" s="1"/>
  <c r="F58" i="10"/>
  <c r="E44" i="3"/>
  <c r="E56" i="8"/>
  <c r="E19" i="14"/>
  <c r="F12" i="8"/>
  <c r="E48" i="18"/>
  <c r="F9" i="23"/>
  <c r="E7" i="14"/>
  <c r="F27" i="7"/>
  <c r="E7" i="17"/>
  <c r="E42" i="7"/>
  <c r="E7" i="15"/>
  <c r="E7" i="10"/>
  <c r="E7" i="16"/>
  <c r="E7" i="6"/>
  <c r="E7" i="19"/>
  <c r="F57" i="18"/>
  <c r="F48" i="19"/>
  <c r="F25" i="8"/>
  <c r="F29" i="18"/>
  <c r="E26" i="18"/>
  <c r="E52" i="17"/>
  <c r="C38" i="19"/>
  <c r="E11" i="11"/>
  <c r="E55" i="12"/>
  <c r="F39" i="8"/>
  <c r="E53" i="18"/>
  <c r="E40" i="15"/>
  <c r="F42" i="6"/>
  <c r="F8" i="14"/>
  <c r="E8" i="14"/>
  <c r="E15" i="17"/>
  <c r="E21" i="16"/>
  <c r="E46" i="8"/>
  <c r="E46" i="16"/>
  <c r="F13" i="8"/>
  <c r="F88" i="23"/>
  <c r="F35" i="15"/>
  <c r="F29" i="11"/>
  <c r="F17" i="16"/>
  <c r="F29" i="7"/>
  <c r="F25" i="11"/>
  <c r="F26" i="14"/>
  <c r="E64" i="11"/>
  <c r="E29" i="14"/>
  <c r="F53" i="7"/>
  <c r="F57" i="8"/>
  <c r="F11" i="8"/>
  <c r="E57" i="16"/>
  <c r="D6" i="23"/>
  <c r="E6" i="23" s="1"/>
  <c r="E19" i="11"/>
  <c r="F29" i="14"/>
  <c r="E11" i="12"/>
  <c r="F13" i="16"/>
  <c r="E47" i="11"/>
  <c r="E14" i="14"/>
  <c r="E35" i="11"/>
  <c r="F7" i="15"/>
  <c r="E56" i="9"/>
  <c r="E43" i="9"/>
  <c r="F57" i="12"/>
  <c r="F53" i="11"/>
  <c r="E33" i="5"/>
  <c r="E8" i="11"/>
  <c r="F27" i="13"/>
  <c r="E33" i="9"/>
  <c r="E40" i="17"/>
  <c r="F35" i="6"/>
  <c r="F63" i="10"/>
  <c r="F55" i="18"/>
  <c r="F22" i="3"/>
  <c r="F40" i="12"/>
  <c r="F52" i="9"/>
  <c r="F22" i="10"/>
  <c r="E60" i="17"/>
  <c r="E35" i="6"/>
  <c r="E47" i="3"/>
  <c r="F64" i="10"/>
  <c r="F25" i="23"/>
  <c r="F20" i="23"/>
  <c r="E52" i="9"/>
  <c r="E40" i="6"/>
  <c r="F42" i="7"/>
  <c r="F55" i="8"/>
  <c r="F55" i="7"/>
  <c r="E44" i="5"/>
  <c r="E23" i="6"/>
  <c r="F43" i="9"/>
  <c r="E49" i="12"/>
  <c r="E43" i="10"/>
  <c r="E53" i="11"/>
  <c r="E43" i="19"/>
  <c r="F25" i="14"/>
  <c r="E27" i="13"/>
  <c r="E15" i="11"/>
  <c r="F7" i="6"/>
  <c r="E25" i="11"/>
  <c r="E50" i="7"/>
  <c r="E50" i="8"/>
  <c r="F50" i="7"/>
  <c r="F12" i="11"/>
  <c r="F19" i="14"/>
  <c r="E42" i="8"/>
  <c r="E39" i="3"/>
  <c r="E54" i="6"/>
  <c r="E21" i="14"/>
  <c r="E29" i="16"/>
  <c r="F9" i="14"/>
  <c r="E39" i="13"/>
  <c r="E53" i="16"/>
  <c r="E49" i="16"/>
  <c r="E47" i="9"/>
  <c r="E52" i="3"/>
  <c r="F26" i="5"/>
  <c r="F29" i="16"/>
  <c r="F23" i="17"/>
  <c r="E33" i="8"/>
  <c r="E55" i="8"/>
  <c r="F49" i="13"/>
  <c r="E54" i="12"/>
  <c r="F11" i="10"/>
  <c r="E46" i="5"/>
  <c r="F63" i="8"/>
  <c r="E9" i="10"/>
  <c r="E44" i="10"/>
  <c r="E50" i="6"/>
  <c r="F39" i="7"/>
  <c r="F49" i="3"/>
  <c r="F47" i="17"/>
  <c r="E57" i="18"/>
  <c r="E47" i="13"/>
  <c r="E45" i="15"/>
  <c r="E33" i="14"/>
  <c r="E13" i="5"/>
  <c r="F20" i="8"/>
  <c r="E31" i="15"/>
  <c r="E56" i="7"/>
  <c r="F19" i="15"/>
  <c r="F48" i="14"/>
  <c r="E63" i="8"/>
  <c r="E51" i="22"/>
  <c r="E11" i="10"/>
  <c r="E42" i="15"/>
  <c r="E12" i="10"/>
  <c r="E25" i="16"/>
  <c r="E53" i="13"/>
  <c r="E64" i="5"/>
  <c r="F9" i="10"/>
  <c r="E30" i="15"/>
  <c r="E32" i="5"/>
  <c r="E40" i="11"/>
  <c r="F52" i="13"/>
  <c r="E42" i="11"/>
  <c r="E43" i="12"/>
  <c r="F58" i="9"/>
  <c r="F15" i="14"/>
  <c r="E17" i="18"/>
  <c r="E31" i="8"/>
  <c r="E34" i="15"/>
  <c r="E54" i="15"/>
  <c r="E63" i="18"/>
  <c r="E64" i="10"/>
  <c r="F35" i="17"/>
  <c r="E62" i="7"/>
  <c r="E49" i="5"/>
  <c r="F9" i="11"/>
  <c r="F53" i="6"/>
  <c r="F7" i="13"/>
  <c r="E23" i="7"/>
  <c r="F26" i="16"/>
  <c r="E45" i="17"/>
  <c r="E13" i="3"/>
  <c r="E32" i="3"/>
  <c r="E35" i="16"/>
  <c r="E22" i="6"/>
  <c r="F30" i="14"/>
  <c r="E10" i="5"/>
  <c r="E32" i="12"/>
  <c r="F57" i="13"/>
  <c r="F50" i="14"/>
  <c r="E42" i="3"/>
  <c r="F44" i="13"/>
  <c r="F40" i="3"/>
  <c r="F42" i="5"/>
  <c r="F44" i="12"/>
  <c r="F49" i="7"/>
  <c r="E14" i="5"/>
  <c r="E27" i="5"/>
  <c r="E29" i="11"/>
  <c r="F8" i="7"/>
  <c r="F23" i="7"/>
  <c r="F12" i="10"/>
  <c r="F18" i="5"/>
  <c r="E15" i="14"/>
  <c r="F17" i="7"/>
  <c r="E18" i="7"/>
  <c r="E26" i="6"/>
  <c r="F19" i="16"/>
  <c r="E44" i="13"/>
  <c r="E54" i="19"/>
  <c r="E21" i="8"/>
  <c r="F17" i="3"/>
  <c r="F39" i="11"/>
  <c r="F47" i="15"/>
  <c r="E8" i="7"/>
  <c r="F50" i="15"/>
  <c r="E35" i="10"/>
  <c r="E46" i="14"/>
  <c r="F8" i="18"/>
  <c r="E18" i="8"/>
  <c r="E30" i="19"/>
  <c r="F10" i="14"/>
  <c r="F50" i="3"/>
  <c r="F44" i="7"/>
  <c r="E46" i="18"/>
  <c r="E52" i="12"/>
  <c r="E17" i="5"/>
  <c r="E8" i="5"/>
  <c r="F21" i="5"/>
  <c r="F17" i="11"/>
  <c r="F8" i="5"/>
  <c r="F13" i="19"/>
  <c r="E17" i="8"/>
  <c r="F23" i="18"/>
  <c r="F26" i="12"/>
  <c r="E19" i="10"/>
  <c r="E48" i="13"/>
  <c r="E60" i="10"/>
  <c r="F22" i="6"/>
  <c r="F20" i="10"/>
  <c r="F21" i="11"/>
  <c r="E39" i="11"/>
  <c r="E63" i="3"/>
  <c r="E26" i="16"/>
  <c r="E24" i="13"/>
  <c r="F32" i="12"/>
  <c r="E61" i="18"/>
  <c r="F64" i="14"/>
  <c r="E35" i="3"/>
  <c r="F35" i="9"/>
  <c r="E35" i="9"/>
  <c r="E43" i="14"/>
  <c r="E54" i="16"/>
  <c r="F40" i="16"/>
  <c r="E52" i="18"/>
  <c r="F52" i="18"/>
  <c r="F25" i="18"/>
  <c r="E25" i="18"/>
  <c r="F20" i="18"/>
  <c r="E16" i="18"/>
  <c r="E28" i="8"/>
  <c r="E19" i="8"/>
  <c r="F8" i="8"/>
  <c r="F22" i="15"/>
  <c r="E22" i="15"/>
  <c r="F15" i="16"/>
  <c r="E15" i="16"/>
  <c r="E12" i="12"/>
  <c r="F12" i="12"/>
  <c r="F44" i="15"/>
  <c r="F42" i="17"/>
  <c r="F43" i="18"/>
  <c r="E61" i="19"/>
  <c r="E15" i="8"/>
  <c r="F20" i="16"/>
  <c r="E26" i="19"/>
  <c r="F26" i="19"/>
  <c r="F21" i="7"/>
  <c r="F16" i="7"/>
  <c r="E16" i="7"/>
  <c r="E58" i="13"/>
  <c r="F45" i="13"/>
  <c r="E45" i="13"/>
  <c r="E40" i="13"/>
  <c r="F40" i="13"/>
  <c r="F52" i="15"/>
  <c r="F43" i="15"/>
  <c r="E49" i="17"/>
  <c r="E7" i="18"/>
  <c r="F7" i="18"/>
  <c r="E28" i="18"/>
  <c r="F27" i="8"/>
  <c r="E27" i="8"/>
  <c r="E14" i="8"/>
  <c r="E50" i="3"/>
  <c r="E52" i="5"/>
  <c r="F49" i="8"/>
  <c r="F49" i="16"/>
  <c r="F48" i="12"/>
  <c r="E53" i="15"/>
  <c r="E42" i="18"/>
  <c r="E32" i="17"/>
  <c r="F16" i="18"/>
  <c r="F27" i="6"/>
  <c r="F32" i="15"/>
  <c r="E28" i="6"/>
  <c r="E47" i="5"/>
  <c r="E50" i="14"/>
  <c r="E56" i="5"/>
  <c r="E48" i="12"/>
  <c r="E58" i="17"/>
  <c r="F42" i="18"/>
  <c r="F57" i="15"/>
  <c r="E55" i="9"/>
  <c r="E14" i="10"/>
  <c r="F20" i="19"/>
  <c r="F32" i="7"/>
  <c r="F21" i="17"/>
  <c r="E31" i="7"/>
  <c r="E19" i="16"/>
  <c r="E54" i="17"/>
  <c r="E48" i="15"/>
  <c r="E55" i="18"/>
  <c r="E60" i="12"/>
  <c r="F27" i="3"/>
  <c r="F47" i="18"/>
  <c r="F63" i="12"/>
  <c r="F60" i="9"/>
  <c r="E60" i="9"/>
  <c r="E33" i="19"/>
  <c r="F22" i="12"/>
  <c r="E22" i="16"/>
  <c r="F22" i="16"/>
  <c r="E10" i="8"/>
  <c r="E30" i="17"/>
  <c r="F30" i="17"/>
  <c r="E30" i="8"/>
  <c r="E29" i="5"/>
  <c r="E29" i="15"/>
  <c r="F50" i="13"/>
  <c r="E46" i="13"/>
  <c r="E58" i="16"/>
  <c r="E56" i="18"/>
  <c r="F27" i="15"/>
  <c r="E8" i="15"/>
  <c r="F8" i="15"/>
  <c r="F27" i="16"/>
  <c r="E27" i="16"/>
  <c r="F55" i="13"/>
  <c r="E19" i="5"/>
  <c r="E31" i="5"/>
  <c r="F32" i="13"/>
  <c r="E23" i="8"/>
  <c r="F43" i="14"/>
  <c r="E28" i="5"/>
  <c r="F39" i="5"/>
  <c r="E39" i="5"/>
  <c r="E46" i="19"/>
  <c r="F43" i="11"/>
  <c r="E43" i="11"/>
  <c r="F53" i="12"/>
  <c r="E53" i="12"/>
  <c r="F55" i="14"/>
  <c r="E55" i="14"/>
  <c r="E19" i="18"/>
  <c r="F22" i="8"/>
  <c r="F26" i="15"/>
  <c r="E26" i="15"/>
  <c r="E32" i="16"/>
  <c r="F32" i="16"/>
  <c r="F42" i="10"/>
  <c r="F22" i="11"/>
  <c r="F16" i="19"/>
  <c r="F18" i="8"/>
  <c r="E39" i="18"/>
  <c r="F49" i="17"/>
  <c r="E20" i="16"/>
  <c r="F64" i="17"/>
  <c r="E64" i="17"/>
  <c r="F58" i="16"/>
  <c r="F61" i="3"/>
  <c r="E61" i="3"/>
  <c r="E19" i="7"/>
  <c r="F19" i="7"/>
  <c r="E13" i="10"/>
  <c r="E25" i="17"/>
  <c r="F20" i="17"/>
  <c r="C37" i="19"/>
  <c r="E32" i="11"/>
  <c r="E27" i="14"/>
  <c r="E57" i="7"/>
  <c r="F55" i="11"/>
  <c r="E55" i="11"/>
  <c r="F50" i="11"/>
  <c r="E33" i="6"/>
  <c r="E7" i="5"/>
  <c r="F17" i="14"/>
  <c r="F44" i="8"/>
  <c r="E45" i="9"/>
  <c r="F49" i="10"/>
  <c r="E12" i="7"/>
  <c r="E7" i="12"/>
  <c r="F39" i="10"/>
  <c r="E39" i="10"/>
  <c r="F9" i="3"/>
  <c r="E24" i="22"/>
  <c r="F13" i="3"/>
  <c r="E48" i="8"/>
  <c r="E58" i="9"/>
  <c r="E53" i="19"/>
  <c r="E54" i="10"/>
  <c r="E63" i="19"/>
  <c r="E18" i="10"/>
  <c r="E31" i="3"/>
  <c r="E35" i="8"/>
  <c r="F35" i="13"/>
  <c r="E40" i="14"/>
  <c r="F43" i="16"/>
  <c r="E57" i="17"/>
  <c r="F49" i="18"/>
  <c r="E7" i="8"/>
  <c r="F7" i="8"/>
  <c r="E27" i="18"/>
  <c r="E31" i="16"/>
  <c r="F30" i="5"/>
  <c r="F30" i="6"/>
  <c r="E30" i="10"/>
  <c r="E11" i="5"/>
  <c r="F11" i="5"/>
  <c r="F12" i="5"/>
  <c r="E9" i="12"/>
  <c r="F45" i="19"/>
  <c r="F42" i="15"/>
  <c r="E49" i="10"/>
  <c r="E48" i="19"/>
  <c r="E45" i="19"/>
  <c r="E20" i="14"/>
  <c r="F15" i="11"/>
  <c r="E20" i="15"/>
  <c r="F32" i="6"/>
  <c r="E8" i="16"/>
  <c r="E33" i="16"/>
  <c r="E13" i="16"/>
  <c r="F25" i="16"/>
  <c r="E25" i="15"/>
  <c r="E44" i="8"/>
  <c r="E55" i="15"/>
  <c r="E13" i="14"/>
  <c r="E49" i="3"/>
  <c r="F40" i="9"/>
  <c r="E53" i="17"/>
  <c r="F40" i="14"/>
  <c r="E62" i="11"/>
  <c r="F58" i="8"/>
  <c r="F53" i="8"/>
  <c r="E34" i="8"/>
  <c r="F15" i="19"/>
  <c r="E15" i="7"/>
  <c r="E7" i="7"/>
  <c r="F7" i="7"/>
  <c r="E8" i="10"/>
  <c r="F8" i="10"/>
  <c r="F53" i="19"/>
  <c r="E48" i="6"/>
  <c r="F48" i="6"/>
  <c r="E40" i="7"/>
  <c r="E54" i="8"/>
  <c r="E46" i="10"/>
  <c r="E62" i="13"/>
  <c r="F7" i="11"/>
  <c r="E21" i="10"/>
  <c r="F40" i="19"/>
  <c r="E40" i="19"/>
  <c r="E49" i="9"/>
  <c r="E7" i="9"/>
  <c r="F7" i="9"/>
  <c r="F23" i="11"/>
  <c r="F21" i="10"/>
  <c r="E26" i="10"/>
  <c r="E39" i="17"/>
  <c r="E61" i="12"/>
  <c r="E16" i="3"/>
  <c r="F16" i="3"/>
  <c r="E56" i="16"/>
  <c r="F20" i="7"/>
  <c r="F13" i="11"/>
  <c r="E30" i="14"/>
  <c r="E30" i="16"/>
  <c r="F12" i="7"/>
  <c r="F9" i="12"/>
  <c r="E21" i="12"/>
  <c r="E9" i="17"/>
  <c r="F20" i="5"/>
  <c r="F15" i="5"/>
  <c r="F27" i="11"/>
  <c r="E17" i="14"/>
  <c r="F9" i="8"/>
  <c r="E26" i="8"/>
  <c r="E9" i="3"/>
  <c r="F20" i="15"/>
  <c r="E13" i="11"/>
  <c r="E35" i="13"/>
  <c r="E43" i="6"/>
  <c r="E56" i="6"/>
  <c r="F18" i="10"/>
  <c r="E60" i="14"/>
  <c r="F61" i="10"/>
  <c r="E64" i="9"/>
  <c r="F64" i="9"/>
  <c r="F61" i="9"/>
  <c r="E61" i="9"/>
  <c r="F49" i="9"/>
  <c r="F50" i="5"/>
  <c r="F21" i="3"/>
  <c r="F15" i="3"/>
  <c r="E15" i="3"/>
  <c r="F35" i="14"/>
  <c r="E35" i="14"/>
  <c r="F35" i="18"/>
  <c r="E35" i="18"/>
  <c r="F21" i="8"/>
  <c r="E23" i="19"/>
  <c r="E31" i="11"/>
  <c r="E57" i="11"/>
  <c r="E48" i="11"/>
  <c r="F48" i="11"/>
  <c r="F58" i="12"/>
  <c r="F53" i="14"/>
  <c r="E50" i="16"/>
  <c r="F43" i="17"/>
  <c r="F44" i="18"/>
  <c r="E44" i="18"/>
  <c r="F21" i="18"/>
  <c r="F25" i="6"/>
  <c r="E25" i="6"/>
  <c r="F16" i="8"/>
  <c r="E16" i="8"/>
  <c r="F23" i="15"/>
  <c r="E16" i="16"/>
  <c r="F16" i="16"/>
  <c r="F8" i="17"/>
  <c r="E8" i="17"/>
  <c r="F51" i="22"/>
  <c r="E10" i="3"/>
  <c r="F8" i="23"/>
  <c r="F87" i="23"/>
  <c r="F7" i="23"/>
  <c r="D86" i="23"/>
  <c r="E86" i="23" s="1"/>
  <c r="E80" i="23"/>
  <c r="E23" i="23"/>
  <c r="F22" i="23"/>
  <c r="F18" i="23"/>
  <c r="F14" i="23"/>
  <c r="C19" i="23"/>
  <c r="F24" i="22"/>
  <c r="F52" i="3"/>
  <c r="F43" i="3"/>
  <c r="E23" i="3"/>
  <c r="E17" i="3"/>
  <c r="F35" i="3"/>
  <c r="E21" i="3"/>
  <c r="F48" i="3"/>
  <c r="D53" i="20"/>
  <c r="E53" i="20" s="1"/>
  <c r="E57" i="5"/>
  <c r="F52" i="5"/>
  <c r="F43" i="5"/>
  <c r="E26" i="5"/>
  <c r="E15" i="5"/>
  <c r="D10" i="20"/>
  <c r="E55" i="5"/>
  <c r="F7" i="5"/>
  <c r="E61" i="5"/>
  <c r="F23" i="5"/>
  <c r="F55" i="6"/>
  <c r="E57" i="6"/>
  <c r="F50" i="6"/>
  <c r="E46" i="6"/>
  <c r="E39" i="6"/>
  <c r="F39" i="6"/>
  <c r="F52" i="7"/>
  <c r="F13" i="7"/>
  <c r="F18" i="7"/>
  <c r="E49" i="7"/>
  <c r="E45" i="7"/>
  <c r="F31" i="20"/>
  <c r="F32" i="8"/>
  <c r="E8" i="8"/>
  <c r="F19" i="8"/>
  <c r="F52" i="8"/>
  <c r="F35" i="8"/>
  <c r="E13" i="8"/>
  <c r="F23" i="8"/>
  <c r="F63" i="9"/>
  <c r="E63" i="9"/>
  <c r="F13" i="10"/>
  <c r="E63" i="10"/>
  <c r="E56" i="10"/>
  <c r="F10" i="10"/>
  <c r="E42" i="10"/>
  <c r="F47" i="10"/>
  <c r="E18" i="11"/>
  <c r="E7" i="11"/>
  <c r="F14" i="11"/>
  <c r="F18" i="11"/>
  <c r="E33" i="11"/>
  <c r="F49" i="12"/>
  <c r="F7" i="12"/>
  <c r="E28" i="12"/>
  <c r="E35" i="12"/>
  <c r="E63" i="12"/>
  <c r="E40" i="12"/>
  <c r="E47" i="12"/>
  <c r="D11" i="20"/>
  <c r="E57" i="13"/>
  <c r="E43" i="13"/>
  <c r="E54" i="14"/>
  <c r="E64" i="14"/>
  <c r="F61" i="14"/>
  <c r="F63" i="14"/>
  <c r="F12" i="14"/>
  <c r="D12" i="20"/>
  <c r="E9" i="14"/>
  <c r="F21" i="14"/>
  <c r="E12" i="14"/>
  <c r="E49" i="15"/>
  <c r="E21" i="15"/>
  <c r="E47" i="15"/>
  <c r="E23" i="15"/>
  <c r="D52" i="20"/>
  <c r="D73" i="23" s="1"/>
  <c r="D58" i="20"/>
  <c r="D79" i="23" s="1"/>
  <c r="F79" i="23" s="1"/>
  <c r="E57" i="15"/>
  <c r="F49" i="15"/>
  <c r="E33" i="15"/>
  <c r="E43" i="15"/>
  <c r="F53" i="16"/>
  <c r="E42" i="16"/>
  <c r="F55" i="16"/>
  <c r="F57" i="16"/>
  <c r="E14" i="16"/>
  <c r="E44" i="16"/>
  <c r="D46" i="20"/>
  <c r="E46" i="20" s="1"/>
  <c r="F8" i="16"/>
  <c r="D50" i="20"/>
  <c r="E50" i="20" s="1"/>
  <c r="F25" i="17"/>
  <c r="F14" i="17"/>
  <c r="F7" i="17"/>
  <c r="E33" i="17"/>
  <c r="F53" i="17"/>
  <c r="E34" i="17"/>
  <c r="D35" i="20"/>
  <c r="F35" i="20" s="1"/>
  <c r="E55" i="17"/>
  <c r="D45" i="20"/>
  <c r="D66" i="23" s="1"/>
  <c r="F66" i="23" s="1"/>
  <c r="D56" i="20"/>
  <c r="D77" i="23" s="1"/>
  <c r="F77" i="23" s="1"/>
  <c r="F18" i="18"/>
  <c r="E40" i="18"/>
  <c r="E60" i="18"/>
  <c r="E20" i="18"/>
  <c r="E31" i="18"/>
  <c r="F64" i="18"/>
  <c r="F58" i="18"/>
  <c r="D54" i="20"/>
  <c r="D75" i="23" s="1"/>
  <c r="E75" i="23" s="1"/>
  <c r="D61" i="20"/>
  <c r="F22" i="18"/>
  <c r="E64" i="18"/>
  <c r="F61" i="18"/>
  <c r="F39" i="18"/>
  <c r="F63" i="16"/>
  <c r="E63" i="16"/>
  <c r="E60" i="13"/>
  <c r="E34" i="13"/>
  <c r="E62" i="10"/>
  <c r="E59" i="10"/>
  <c r="E34" i="10"/>
  <c r="E63" i="5"/>
  <c r="F63" i="5"/>
  <c r="E7" i="3"/>
  <c r="E26" i="3"/>
  <c r="F26" i="3"/>
  <c r="E25" i="12"/>
  <c r="F35" i="5"/>
  <c r="E35" i="5"/>
  <c r="E20" i="11"/>
  <c r="F20" i="11"/>
  <c r="F16" i="11"/>
  <c r="E16" i="11"/>
  <c r="E32" i="14"/>
  <c r="F32" i="14"/>
  <c r="E18" i="14"/>
  <c r="F18" i="14"/>
  <c r="F39" i="16"/>
  <c r="F55" i="3"/>
  <c r="E55" i="3"/>
  <c r="F48" i="7"/>
  <c r="F45" i="8"/>
  <c r="E50" i="9"/>
  <c r="F50" i="9"/>
  <c r="E55" i="10"/>
  <c r="F49" i="11"/>
  <c r="E49" i="11"/>
  <c r="F45" i="16"/>
  <c r="F50" i="17"/>
  <c r="E50" i="17"/>
  <c r="F9" i="7"/>
  <c r="E30" i="11"/>
  <c r="F30" i="11"/>
  <c r="F30" i="7"/>
  <c r="E29" i="10"/>
  <c r="F29" i="10"/>
  <c r="F9" i="16"/>
  <c r="F11" i="14"/>
  <c r="E30" i="7"/>
  <c r="F29" i="5"/>
  <c r="F57" i="3"/>
  <c r="E10" i="12"/>
  <c r="F39" i="9"/>
  <c r="D39" i="20"/>
  <c r="F39" i="20" s="1"/>
  <c r="F39" i="12"/>
  <c r="F52" i="11"/>
  <c r="E54" i="18"/>
  <c r="D43" i="20"/>
  <c r="D64" i="23" s="1"/>
  <c r="E64" i="23" s="1"/>
  <c r="E58" i="5"/>
  <c r="F44" i="3"/>
  <c r="F42" i="9"/>
  <c r="E49" i="6"/>
  <c r="F40" i="8"/>
  <c r="F58" i="14"/>
  <c r="E58" i="14"/>
  <c r="D40" i="20"/>
  <c r="F40" i="20" s="1"/>
  <c r="F7" i="14"/>
  <c r="F32" i="17"/>
  <c r="E26" i="14"/>
  <c r="E28" i="17"/>
  <c r="E21" i="17"/>
  <c r="F29" i="12"/>
  <c r="F7" i="3"/>
  <c r="E10" i="16"/>
  <c r="E46" i="17"/>
  <c r="F22" i="7"/>
  <c r="F14" i="7"/>
  <c r="E14" i="7"/>
  <c r="E62" i="12"/>
  <c r="E61" i="11"/>
  <c r="F61" i="11"/>
  <c r="E8" i="9"/>
  <c r="F27" i="12"/>
  <c r="F20" i="12"/>
  <c r="F26" i="17"/>
  <c r="F25" i="3"/>
  <c r="F16" i="14"/>
  <c r="E16" i="14"/>
  <c r="E25" i="5"/>
  <c r="F8" i="13"/>
  <c r="F39" i="14"/>
  <c r="E39" i="14"/>
  <c r="E58" i="6"/>
  <c r="F58" i="6"/>
  <c r="F47" i="8"/>
  <c r="E48" i="9"/>
  <c r="F44" i="9"/>
  <c r="E44" i="9"/>
  <c r="F42" i="13"/>
  <c r="F47" i="14"/>
  <c r="E47" i="14"/>
  <c r="E44" i="14"/>
  <c r="F44" i="14"/>
  <c r="E47" i="16"/>
  <c r="F47" i="16"/>
  <c r="F48" i="17"/>
  <c r="E48" i="17"/>
  <c r="F44" i="17"/>
  <c r="E44" i="17"/>
  <c r="F45" i="18"/>
  <c r="E45" i="18"/>
  <c r="E23" i="16"/>
  <c r="F18" i="16"/>
  <c r="E18" i="16"/>
  <c r="E16" i="17"/>
  <c r="F9" i="9"/>
  <c r="E9" i="9"/>
  <c r="D30" i="20"/>
  <c r="E30" i="20" s="1"/>
  <c r="F30" i="18"/>
  <c r="D9" i="20"/>
  <c r="E9" i="20" s="1"/>
  <c r="F11" i="7"/>
  <c r="E11" i="14"/>
  <c r="F57" i="10"/>
  <c r="F10" i="3"/>
  <c r="F12" i="3"/>
  <c r="E11" i="7"/>
  <c r="D26" i="20"/>
  <c r="D46" i="23" s="1"/>
  <c r="E46" i="23" s="1"/>
  <c r="E9" i="16"/>
  <c r="E57" i="3"/>
  <c r="F52" i="14"/>
  <c r="F58" i="15"/>
  <c r="F49" i="14"/>
  <c r="F55" i="17"/>
  <c r="D48" i="20"/>
  <c r="F48" i="20" s="1"/>
  <c r="E40" i="8"/>
  <c r="E49" i="18"/>
  <c r="D28" i="20"/>
  <c r="E28" i="20" s="1"/>
  <c r="E7" i="13"/>
  <c r="D23" i="20"/>
  <c r="E23" i="20" s="1"/>
  <c r="F16" i="5"/>
  <c r="E33" i="13"/>
  <c r="E27" i="12"/>
  <c r="F23" i="16"/>
  <c r="E34" i="14"/>
  <c r="E28" i="13"/>
  <c r="E48" i="7"/>
  <c r="E47" i="18"/>
  <c r="E57" i="10"/>
  <c r="F55" i="15"/>
  <c r="E64" i="13"/>
  <c r="E60" i="15"/>
  <c r="F64" i="7"/>
  <c r="E64" i="7"/>
  <c r="E28" i="7"/>
  <c r="E27" i="10"/>
  <c r="F27" i="10"/>
  <c r="F15" i="10"/>
  <c r="D15" i="20"/>
  <c r="F61" i="17"/>
  <c r="F61" i="16"/>
  <c r="E61" i="16"/>
  <c r="E63" i="15"/>
  <c r="E34" i="5"/>
  <c r="E64" i="3"/>
  <c r="F64" i="3"/>
  <c r="E28" i="16"/>
  <c r="F12" i="16"/>
  <c r="E12" i="16"/>
  <c r="F63" i="13"/>
  <c r="E63" i="13"/>
  <c r="E61" i="8"/>
  <c r="E33" i="18"/>
  <c r="F44" i="11"/>
  <c r="F48" i="16"/>
  <c r="F22" i="5"/>
  <c r="F64" i="19"/>
  <c r="C54" i="23"/>
  <c r="F54" i="23" s="1"/>
  <c r="D55" i="20"/>
  <c r="F55" i="20" s="1"/>
  <c r="E55" i="19"/>
  <c r="F54" i="20"/>
  <c r="E57" i="19"/>
  <c r="F56" i="20"/>
  <c r="D42" i="20"/>
  <c r="F42" i="20" s="1"/>
  <c r="F42" i="19"/>
  <c r="F29" i="19"/>
  <c r="D14" i="20"/>
  <c r="D49" i="20"/>
  <c r="D70" i="23" s="1"/>
  <c r="F39" i="19"/>
  <c r="F7" i="19"/>
  <c r="F14" i="19"/>
  <c r="E42" i="19"/>
  <c r="D44" i="20"/>
  <c r="F44" i="20" s="1"/>
  <c r="F57" i="19"/>
  <c r="D33" i="20"/>
  <c r="D53" i="23" s="1"/>
  <c r="F27" i="19"/>
  <c r="F62" i="20"/>
  <c r="E64" i="19"/>
  <c r="D57" i="20"/>
  <c r="D78" i="23" s="1"/>
  <c r="F78" i="23" s="1"/>
  <c r="F49" i="19"/>
  <c r="E49" i="19"/>
  <c r="E47" i="19"/>
  <c r="F44" i="19"/>
  <c r="E34" i="19"/>
  <c r="F32" i="19"/>
  <c r="C53" i="23"/>
  <c r="C24" i="20"/>
  <c r="C6" i="20" s="1"/>
  <c r="D32" i="20"/>
  <c r="D52" i="23" s="1"/>
  <c r="D21" i="20"/>
  <c r="F21" i="20" s="1"/>
  <c r="F19" i="19"/>
  <c r="E14" i="19"/>
  <c r="F21" i="19"/>
  <c r="D8" i="20"/>
  <c r="E8" i="20" s="1"/>
  <c r="C73" i="23"/>
  <c r="C51" i="20"/>
  <c r="F28" i="20"/>
  <c r="C48" i="23"/>
  <c r="F63" i="17"/>
  <c r="E63" i="17"/>
  <c r="E62" i="16"/>
  <c r="F64" i="12"/>
  <c r="E60" i="7"/>
  <c r="E60" i="5"/>
  <c r="E31" i="10"/>
  <c r="F17" i="10"/>
  <c r="D19" i="20"/>
  <c r="F19" i="20" s="1"/>
  <c r="E19" i="17"/>
  <c r="F29" i="3"/>
  <c r="E29" i="3"/>
  <c r="E50" i="22"/>
  <c r="D25" i="20"/>
  <c r="D45" i="23" s="1"/>
  <c r="F45" i="23" s="1"/>
  <c r="C68" i="23"/>
  <c r="E26" i="13"/>
  <c r="E31" i="12"/>
  <c r="E62" i="6"/>
  <c r="F13" i="12"/>
  <c r="E22" i="19"/>
  <c r="F22" i="19"/>
  <c r="E11" i="16"/>
  <c r="F9" i="5"/>
  <c r="E30" i="9"/>
  <c r="E30" i="3"/>
  <c r="F30" i="3"/>
  <c r="F29" i="17"/>
  <c r="E29" i="17"/>
  <c r="E29" i="8"/>
  <c r="E29" i="6"/>
  <c r="F53" i="22"/>
  <c r="F49" i="22"/>
  <c r="E49" i="22"/>
  <c r="E10" i="7"/>
  <c r="F11" i="16"/>
  <c r="E11" i="3"/>
  <c r="F32" i="5"/>
  <c r="E27" i="7"/>
  <c r="F11" i="12"/>
  <c r="F26" i="13"/>
  <c r="D60" i="20"/>
  <c r="F63" i="11"/>
  <c r="E63" i="11"/>
  <c r="E62" i="8"/>
  <c r="F63" i="7"/>
  <c r="E63" i="7"/>
  <c r="E61" i="7"/>
  <c r="F61" i="7"/>
  <c r="E61" i="6"/>
  <c r="F61" i="6"/>
  <c r="E55" i="22"/>
  <c r="F55" i="22"/>
  <c r="E46" i="22"/>
  <c r="E29" i="12"/>
  <c r="F52" i="19"/>
  <c r="E52" i="19"/>
  <c r="D47" i="20"/>
  <c r="D68" i="23" s="1"/>
  <c r="F58" i="3"/>
  <c r="E58" i="3"/>
  <c r="E53" i="3"/>
  <c r="F53" i="3"/>
  <c r="E46" i="3"/>
  <c r="F42" i="3"/>
  <c r="E53" i="5"/>
  <c r="F53" i="5"/>
  <c r="F48" i="5"/>
  <c r="E45" i="5"/>
  <c r="F40" i="5"/>
  <c r="E52" i="6"/>
  <c r="F52" i="6"/>
  <c r="E47" i="6"/>
  <c r="F47" i="6"/>
  <c r="E44" i="6"/>
  <c r="E58" i="7"/>
  <c r="E54" i="7"/>
  <c r="E46" i="7"/>
  <c r="F43" i="7"/>
  <c r="E43" i="7"/>
  <c r="F57" i="9"/>
  <c r="F53" i="9"/>
  <c r="E45" i="10"/>
  <c r="E40" i="10"/>
  <c r="E45" i="11"/>
  <c r="E50" i="12"/>
  <c r="F50" i="12"/>
  <c r="E56" i="13"/>
  <c r="F52" i="16"/>
  <c r="E17" i="19"/>
  <c r="F17" i="19"/>
  <c r="E32" i="22"/>
  <c r="F28" i="22"/>
  <c r="E28" i="22"/>
  <c r="F64" i="16"/>
  <c r="E64" i="16"/>
  <c r="E60" i="16"/>
  <c r="E25" i="10"/>
  <c r="E8" i="12"/>
  <c r="F8" i="12"/>
  <c r="E18" i="19"/>
  <c r="E29" i="9"/>
  <c r="F32" i="10"/>
  <c r="E32" i="10"/>
  <c r="C41" i="20"/>
  <c r="E17" i="10"/>
  <c r="D64" i="20"/>
  <c r="E63" i="22"/>
  <c r="E34" i="16"/>
  <c r="D34" i="20"/>
  <c r="E34" i="20" s="1"/>
  <c r="E54" i="13"/>
  <c r="E9" i="5"/>
  <c r="D13" i="20"/>
  <c r="E13" i="20" s="1"/>
  <c r="D27" i="20"/>
  <c r="D17" i="20"/>
  <c r="F17" i="20" s="1"/>
  <c r="D22" i="20"/>
  <c r="F19" i="17"/>
  <c r="E53" i="22"/>
  <c r="D7" i="20"/>
  <c r="D18" i="20"/>
  <c r="D38" i="23" s="1"/>
  <c r="E38" i="23" s="1"/>
  <c r="E63" i="14"/>
  <c r="D62" i="20"/>
  <c r="D84" i="23" s="1"/>
  <c r="E62" i="14"/>
  <c r="E34" i="7"/>
  <c r="F8" i="3"/>
  <c r="E8" i="3"/>
  <c r="E30" i="13"/>
  <c r="F7" i="10"/>
  <c r="E20" i="19"/>
  <c r="D20" i="20"/>
  <c r="E20" i="20" s="1"/>
  <c r="E27" i="17"/>
  <c r="F27" i="17"/>
  <c r="E22" i="17"/>
  <c r="F17" i="17"/>
  <c r="E17" i="17"/>
  <c r="F26" i="11"/>
  <c r="E26" i="11"/>
  <c r="E31" i="14"/>
  <c r="D31" i="20"/>
  <c r="E33" i="22"/>
  <c r="C59" i="20"/>
  <c r="F46" i="20"/>
  <c r="C67" i="23"/>
  <c r="F67" i="23" s="1"/>
  <c r="E64" i="15"/>
  <c r="F64" i="15"/>
  <c r="E60" i="11"/>
  <c r="E60" i="8"/>
  <c r="F60" i="8"/>
  <c r="F59" i="8"/>
  <c r="E34" i="6"/>
  <c r="E35" i="7"/>
  <c r="E45" i="22"/>
  <c r="E42" i="22"/>
  <c r="F42" i="22"/>
  <c r="F23" i="12"/>
  <c r="E23" i="10"/>
  <c r="E16" i="10"/>
  <c r="F16" i="10"/>
  <c r="F39" i="15"/>
  <c r="F58" i="19"/>
  <c r="F50" i="19"/>
  <c r="E50" i="19"/>
  <c r="F52" i="10"/>
  <c r="F58" i="11"/>
  <c r="E58" i="11"/>
  <c r="E56" i="11"/>
  <c r="E42" i="14"/>
  <c r="D16" i="20"/>
  <c r="E19" i="22"/>
  <c r="E34" i="18"/>
  <c r="F61" i="13"/>
  <c r="E34" i="9"/>
  <c r="F64" i="8"/>
  <c r="F64" i="6"/>
  <c r="E60" i="6"/>
  <c r="E62" i="3"/>
  <c r="E20" i="3"/>
  <c r="F20" i="3"/>
  <c r="E14" i="3"/>
  <c r="F18" i="17"/>
  <c r="F58" i="22"/>
  <c r="D59" i="19"/>
  <c r="F59" i="19" s="1"/>
  <c r="E31" i="19"/>
  <c r="E63" i="6"/>
  <c r="F63" i="6"/>
  <c r="F23" i="14"/>
  <c r="D63" i="20"/>
  <c r="D85" i="23" s="1"/>
  <c r="E51" i="15"/>
  <c r="D41" i="19"/>
  <c r="E41" i="7"/>
  <c r="E51" i="9"/>
  <c r="D51" i="19"/>
  <c r="E13" i="23"/>
  <c r="D12" i="23"/>
  <c r="F12" i="23" s="1"/>
  <c r="D9" i="23"/>
  <c r="C91" i="23"/>
  <c r="D15" i="23"/>
  <c r="E17" i="23"/>
  <c r="E25" i="23"/>
  <c r="F16" i="23"/>
  <c r="E25" i="22"/>
  <c r="E20" i="22"/>
  <c r="E62" i="15"/>
  <c r="E61" i="15"/>
  <c r="F64" i="13"/>
  <c r="E64" i="12"/>
  <c r="E34" i="12"/>
  <c r="E34" i="22"/>
  <c r="E26" i="22"/>
  <c r="E21" i="22"/>
  <c r="E17" i="22"/>
  <c r="E62" i="18"/>
  <c r="F61" i="15"/>
  <c r="E64" i="6"/>
  <c r="F60" i="5"/>
  <c r="E16" i="19"/>
  <c r="D29" i="20"/>
  <c r="E25" i="19"/>
  <c r="E8" i="19"/>
  <c r="E10" i="11"/>
  <c r="E25" i="13"/>
  <c r="E51" i="13"/>
  <c r="F35" i="19"/>
  <c r="E24" i="19" l="1"/>
  <c r="E7" i="20"/>
  <c r="F60" i="20"/>
  <c r="D82" i="23"/>
  <c r="F82" i="23" s="1"/>
  <c r="D83" i="23"/>
  <c r="E83" i="23" s="1"/>
  <c r="F33" i="20"/>
  <c r="F6" i="23"/>
  <c r="E9" i="23"/>
  <c r="E6" i="9"/>
  <c r="E59" i="9"/>
  <c r="E59" i="16"/>
  <c r="E10" i="20"/>
  <c r="F50" i="20"/>
  <c r="F59" i="9"/>
  <c r="E59" i="15"/>
  <c r="F10" i="20"/>
  <c r="F59" i="16"/>
  <c r="F59" i="18"/>
  <c r="F59" i="15"/>
  <c r="F86" i="23"/>
  <c r="F11" i="20"/>
  <c r="F53" i="20"/>
  <c r="E12" i="23"/>
  <c r="D74" i="23"/>
  <c r="F74" i="23" s="1"/>
  <c r="E77" i="23"/>
  <c r="E12" i="20"/>
  <c r="F14" i="20"/>
  <c r="D50" i="23"/>
  <c r="E50" i="23" s="1"/>
  <c r="F26" i="20"/>
  <c r="F52" i="20"/>
  <c r="F61" i="20"/>
  <c r="E66" i="23"/>
  <c r="E11" i="20"/>
  <c r="D67" i="23"/>
  <c r="E67" i="23" s="1"/>
  <c r="E35" i="20"/>
  <c r="E56" i="20"/>
  <c r="D55" i="23"/>
  <c r="E55" i="23" s="1"/>
  <c r="F12" i="20"/>
  <c r="E15" i="20"/>
  <c r="E73" i="23"/>
  <c r="E61" i="20"/>
  <c r="E52" i="20"/>
  <c r="F15" i="20"/>
  <c r="E45" i="20"/>
  <c r="D71" i="23"/>
  <c r="E71" i="23" s="1"/>
  <c r="E58" i="20"/>
  <c r="F58" i="20"/>
  <c r="D43" i="23"/>
  <c r="F43" i="23" s="1"/>
  <c r="E54" i="20"/>
  <c r="F18" i="20"/>
  <c r="F45" i="20"/>
  <c r="E19" i="20"/>
  <c r="E43" i="20"/>
  <c r="E48" i="20"/>
  <c r="F38" i="23"/>
  <c r="F64" i="23"/>
  <c r="F9" i="20"/>
  <c r="E59" i="18"/>
  <c r="D48" i="23"/>
  <c r="F48" i="23" s="1"/>
  <c r="F30" i="20"/>
  <c r="F46" i="23"/>
  <c r="E57" i="20"/>
  <c r="E24" i="5"/>
  <c r="F24" i="5"/>
  <c r="E24" i="9"/>
  <c r="E18" i="20"/>
  <c r="F23" i="20"/>
  <c r="F59" i="10"/>
  <c r="D63" i="23"/>
  <c r="E63" i="23" s="1"/>
  <c r="D76" i="23"/>
  <c r="E42" i="20"/>
  <c r="D60" i="23"/>
  <c r="E60" i="23" s="1"/>
  <c r="D69" i="23"/>
  <c r="E69" i="23" s="1"/>
  <c r="E26" i="20"/>
  <c r="E24" i="16"/>
  <c r="F24" i="16"/>
  <c r="F59" i="13"/>
  <c r="E59" i="13"/>
  <c r="D61" i="23"/>
  <c r="E40" i="20"/>
  <c r="E37" i="5"/>
  <c r="F43" i="20"/>
  <c r="F53" i="23"/>
  <c r="E39" i="20"/>
  <c r="F24" i="9"/>
  <c r="F25" i="20"/>
  <c r="D54" i="23"/>
  <c r="E54" i="23" s="1"/>
  <c r="E14" i="20"/>
  <c r="E55" i="20"/>
  <c r="E33" i="20"/>
  <c r="F57" i="20"/>
  <c r="D51" i="20"/>
  <c r="F51" i="20" s="1"/>
  <c r="E45" i="23"/>
  <c r="F20" i="20"/>
  <c r="E53" i="23"/>
  <c r="C44" i="23"/>
  <c r="E44" i="20"/>
  <c r="D65" i="23"/>
  <c r="D40" i="23"/>
  <c r="E40" i="23" s="1"/>
  <c r="E78" i="23"/>
  <c r="F49" i="20"/>
  <c r="E49" i="20"/>
  <c r="F83" i="23"/>
  <c r="F73" i="23"/>
  <c r="E68" i="23"/>
  <c r="F32" i="20"/>
  <c r="E32" i="20"/>
  <c r="E25" i="20"/>
  <c r="D41" i="23"/>
  <c r="F13" i="20"/>
  <c r="E21" i="20"/>
  <c r="E16" i="20"/>
  <c r="D39" i="23"/>
  <c r="F39" i="23" s="1"/>
  <c r="F8" i="20"/>
  <c r="E6" i="10"/>
  <c r="F6" i="10"/>
  <c r="F6" i="12"/>
  <c r="E6" i="12"/>
  <c r="E51" i="10"/>
  <c r="F51" i="10"/>
  <c r="E24" i="3"/>
  <c r="F24" i="3"/>
  <c r="E24" i="8"/>
  <c r="F24" i="8"/>
  <c r="F6" i="8"/>
  <c r="C81" i="23"/>
  <c r="D51" i="23"/>
  <c r="E51" i="23" s="1"/>
  <c r="E31" i="20"/>
  <c r="D89" i="23"/>
  <c r="F64" i="20"/>
  <c r="E64" i="20"/>
  <c r="F41" i="22"/>
  <c r="E41" i="22"/>
  <c r="E24" i="7"/>
  <c r="F24" i="7"/>
  <c r="F41" i="15"/>
  <c r="E41" i="15"/>
  <c r="F24" i="18"/>
  <c r="E24" i="18"/>
  <c r="F24" i="11"/>
  <c r="E24" i="11"/>
  <c r="F59" i="12"/>
  <c r="E59" i="12"/>
  <c r="E51" i="6"/>
  <c r="F51" i="6"/>
  <c r="E51" i="3"/>
  <c r="F51" i="3"/>
  <c r="F59" i="6"/>
  <c r="E59" i="6"/>
  <c r="C72" i="23"/>
  <c r="D37" i="23"/>
  <c r="D38" i="19"/>
  <c r="E41" i="19"/>
  <c r="F41" i="19"/>
  <c r="F51" i="15"/>
  <c r="F63" i="20"/>
  <c r="E63" i="20"/>
  <c r="E41" i="9"/>
  <c r="F41" i="9"/>
  <c r="E59" i="19"/>
  <c r="E51" i="11"/>
  <c r="F51" i="11"/>
  <c r="E59" i="8"/>
  <c r="F51" i="5"/>
  <c r="E51" i="5"/>
  <c r="F68" i="23"/>
  <c r="E60" i="20"/>
  <c r="E47" i="20"/>
  <c r="F59" i="17"/>
  <c r="E59" i="17"/>
  <c r="D41" i="20"/>
  <c r="C37" i="20"/>
  <c r="F41" i="7"/>
  <c r="F41" i="11"/>
  <c r="F59" i="11"/>
  <c r="E59" i="22"/>
  <c r="F59" i="22"/>
  <c r="D47" i="23"/>
  <c r="E27" i="20"/>
  <c r="F41" i="3"/>
  <c r="E41" i="3"/>
  <c r="F27" i="20"/>
  <c r="E51" i="19"/>
  <c r="F51" i="19"/>
  <c r="F51" i="7"/>
  <c r="E51" i="7"/>
  <c r="F41" i="14"/>
  <c r="E41" i="14"/>
  <c r="E62" i="20"/>
  <c r="E41" i="11"/>
  <c r="D59" i="20"/>
  <c r="F59" i="20" s="1"/>
  <c r="E79" i="23"/>
  <c r="E17" i="20"/>
  <c r="F16" i="20"/>
  <c r="F51" i="9"/>
  <c r="F24" i="12"/>
  <c r="E24" i="12"/>
  <c r="E51" i="12"/>
  <c r="F51" i="12"/>
  <c r="F59" i="3"/>
  <c r="E59" i="3"/>
  <c r="E59" i="11"/>
  <c r="E37" i="16"/>
  <c r="F37" i="16"/>
  <c r="F59" i="14"/>
  <c r="E59" i="14"/>
  <c r="E59" i="5"/>
  <c r="F59" i="5"/>
  <c r="F7" i="20"/>
  <c r="F70" i="23"/>
  <c r="E70" i="23"/>
  <c r="E22" i="20"/>
  <c r="D42" i="23"/>
  <c r="F22" i="20"/>
  <c r="C38" i="20"/>
  <c r="F24" i="10"/>
  <c r="E24" i="10"/>
  <c r="C62" i="23"/>
  <c r="E59" i="7"/>
  <c r="F59" i="7"/>
  <c r="F47" i="20"/>
  <c r="F6" i="9"/>
  <c r="D91" i="23"/>
  <c r="F91" i="23" s="1"/>
  <c r="D19" i="23"/>
  <c r="E15" i="23"/>
  <c r="F15" i="23"/>
  <c r="E52" i="23"/>
  <c r="F52" i="23"/>
  <c r="E41" i="18"/>
  <c r="F41" i="18"/>
  <c r="F41" i="13"/>
  <c r="E41" i="13"/>
  <c r="F41" i="12"/>
  <c r="E41" i="12"/>
  <c r="E51" i="16"/>
  <c r="F51" i="16"/>
  <c r="F41" i="10"/>
  <c r="E41" i="10"/>
  <c r="F24" i="17"/>
  <c r="E24" i="17"/>
  <c r="F51" i="8"/>
  <c r="E51" i="8"/>
  <c r="E24" i="15"/>
  <c r="F24" i="15"/>
  <c r="F41" i="8"/>
  <c r="E41" i="8"/>
  <c r="F51" i="13"/>
  <c r="F24" i="13"/>
  <c r="F41" i="6"/>
  <c r="E41" i="6"/>
  <c r="F24" i="19"/>
  <c r="D37" i="19"/>
  <c r="D24" i="20"/>
  <c r="D6" i="20" s="1"/>
  <c r="D49" i="23"/>
  <c r="F29" i="20"/>
  <c r="E29" i="20"/>
  <c r="F24" i="6"/>
  <c r="E24" i="6"/>
  <c r="E51" i="18"/>
  <c r="F51" i="18"/>
  <c r="F24" i="14"/>
  <c r="E24" i="14"/>
  <c r="F41" i="16"/>
  <c r="E41" i="16"/>
  <c r="F51" i="17"/>
  <c r="E51" i="17"/>
  <c r="F41" i="5"/>
  <c r="E41" i="5"/>
  <c r="F51" i="14"/>
  <c r="E51" i="14"/>
  <c r="E41" i="17"/>
  <c r="F41" i="17"/>
  <c r="E74" i="23" l="1"/>
  <c r="F37" i="5"/>
  <c r="F6" i="5"/>
  <c r="E6" i="5"/>
  <c r="E91" i="23"/>
  <c r="F50" i="23"/>
  <c r="E43" i="23"/>
  <c r="F55" i="23"/>
  <c r="E37" i="8"/>
  <c r="F63" i="23"/>
  <c r="F71" i="23"/>
  <c r="E48" i="23"/>
  <c r="C59" i="23"/>
  <c r="F60" i="23"/>
  <c r="E76" i="23"/>
  <c r="F76" i="23"/>
  <c r="D62" i="23"/>
  <c r="F62" i="23" s="1"/>
  <c r="D72" i="23"/>
  <c r="E72" i="23" s="1"/>
  <c r="E6" i="16"/>
  <c r="F6" i="16"/>
  <c r="E61" i="23"/>
  <c r="F61" i="23"/>
  <c r="F37" i="8"/>
  <c r="F69" i="23"/>
  <c r="E37" i="9"/>
  <c r="F37" i="9"/>
  <c r="E51" i="20"/>
  <c r="D38" i="20"/>
  <c r="E38" i="20" s="1"/>
  <c r="E39" i="23"/>
  <c r="F40" i="23"/>
  <c r="F65" i="23"/>
  <c r="E65" i="23"/>
  <c r="E59" i="20"/>
  <c r="E41" i="20"/>
  <c r="F41" i="20"/>
  <c r="E41" i="23"/>
  <c r="F41" i="23"/>
  <c r="E37" i="3"/>
  <c r="F37" i="3"/>
  <c r="F37" i="10"/>
  <c r="E37" i="10"/>
  <c r="E38" i="7"/>
  <c r="F38" i="7"/>
  <c r="F38" i="9"/>
  <c r="E38" i="9"/>
  <c r="F85" i="23"/>
  <c r="E85" i="23"/>
  <c r="E37" i="23"/>
  <c r="F37" i="23"/>
  <c r="E37" i="11"/>
  <c r="F37" i="11"/>
  <c r="D81" i="23"/>
  <c r="F81" i="23" s="1"/>
  <c r="F84" i="23"/>
  <c r="E84" i="23"/>
  <c r="F37" i="18"/>
  <c r="E37" i="18"/>
  <c r="F38" i="15"/>
  <c r="E38" i="15"/>
  <c r="E6" i="7"/>
  <c r="F6" i="7"/>
  <c r="F89" i="23"/>
  <c r="E89" i="23"/>
  <c r="E82" i="23"/>
  <c r="F37" i="12"/>
  <c r="E37" i="12"/>
  <c r="E47" i="23"/>
  <c r="F47" i="23"/>
  <c r="F38" i="11"/>
  <c r="E38" i="11"/>
  <c r="E37" i="7"/>
  <c r="F37" i="7"/>
  <c r="E6" i="8"/>
  <c r="F42" i="23"/>
  <c r="E42" i="23"/>
  <c r="F6" i="18"/>
  <c r="E6" i="18"/>
  <c r="F38" i="3"/>
  <c r="E38" i="3"/>
  <c r="F38" i="19"/>
  <c r="E38" i="19"/>
  <c r="E6" i="11"/>
  <c r="F6" i="11"/>
  <c r="F38" i="22"/>
  <c r="E38" i="22"/>
  <c r="E6" i="3"/>
  <c r="F6" i="3"/>
  <c r="F19" i="23"/>
  <c r="E19" i="23"/>
  <c r="E38" i="14"/>
  <c r="F38" i="14"/>
  <c r="E37" i="14"/>
  <c r="F37" i="14"/>
  <c r="F49" i="23"/>
  <c r="E49" i="23"/>
  <c r="F6" i="13"/>
  <c r="E6" i="13"/>
  <c r="E6" i="6"/>
  <c r="F6" i="6"/>
  <c r="E37" i="6"/>
  <c r="F37" i="6"/>
  <c r="D44" i="23"/>
  <c r="E24" i="20"/>
  <c r="F24" i="20"/>
  <c r="F6" i="17"/>
  <c r="E6" i="17"/>
  <c r="F38" i="12"/>
  <c r="E38" i="12"/>
  <c r="E38" i="13"/>
  <c r="F38" i="13"/>
  <c r="E38" i="18"/>
  <c r="F38" i="18"/>
  <c r="F38" i="17"/>
  <c r="E38" i="17"/>
  <c r="F38" i="5"/>
  <c r="E38" i="5"/>
  <c r="F38" i="16"/>
  <c r="E38" i="16"/>
  <c r="F6" i="19"/>
  <c r="E6" i="19"/>
  <c r="F38" i="6"/>
  <c r="E38" i="6"/>
  <c r="F6" i="15"/>
  <c r="E6" i="15"/>
  <c r="F6" i="14"/>
  <c r="E6" i="14"/>
  <c r="F37" i="19"/>
  <c r="D37" i="20"/>
  <c r="E37" i="19"/>
  <c r="E37" i="13"/>
  <c r="F37" i="13"/>
  <c r="E38" i="8"/>
  <c r="F38" i="8"/>
  <c r="F37" i="15"/>
  <c r="E37" i="15"/>
  <c r="F37" i="17"/>
  <c r="E37" i="17"/>
  <c r="E38" i="10"/>
  <c r="F38" i="10"/>
  <c r="D59" i="23" l="1"/>
  <c r="F59" i="23" s="1"/>
  <c r="E62" i="23"/>
  <c r="F72" i="23"/>
  <c r="F38" i="20"/>
  <c r="E81" i="23"/>
  <c r="S83" i="23" s="1"/>
  <c r="F37" i="20"/>
  <c r="E37" i="20"/>
  <c r="F6" i="20"/>
  <c r="E6" i="20"/>
  <c r="E44" i="23"/>
  <c r="F44" i="23"/>
  <c r="E59" i="23" l="1"/>
  <c r="F11" i="22" l="1"/>
  <c r="F8" i="22"/>
  <c r="F16" i="22"/>
  <c r="F13" i="22"/>
  <c r="C28" i="23"/>
  <c r="C33" i="23"/>
  <c r="C35" i="23"/>
  <c r="F15" i="22"/>
  <c r="F14" i="22"/>
  <c r="C32" i="23"/>
  <c r="F12" i="22"/>
  <c r="F9" i="22"/>
  <c r="F7" i="22"/>
  <c r="F10" i="22"/>
  <c r="C30" i="23"/>
  <c r="D34" i="23"/>
  <c r="C34" i="23"/>
  <c r="E8" i="22"/>
  <c r="C29" i="23"/>
  <c r="E9" i="22"/>
  <c r="C31" i="23"/>
  <c r="C36" i="23"/>
  <c r="E10" i="22"/>
  <c r="E12" i="22"/>
  <c r="C27" i="23"/>
  <c r="E11" i="22"/>
  <c r="D36" i="23"/>
  <c r="E13" i="22"/>
  <c r="E15" i="22"/>
  <c r="F37" i="22"/>
  <c r="E34" i="23" l="1"/>
  <c r="D30" i="23"/>
  <c r="F30" i="23" s="1"/>
  <c r="D28" i="23"/>
  <c r="E28" i="23" s="1"/>
  <c r="E7" i="22"/>
  <c r="E16" i="22"/>
  <c r="D33" i="23"/>
  <c r="E33" i="23" s="1"/>
  <c r="F34" i="23"/>
  <c r="C57" i="23"/>
  <c r="D27" i="23"/>
  <c r="F27" i="23" s="1"/>
  <c r="C26" i="23"/>
  <c r="C92" i="23" s="1"/>
  <c r="E36" i="23"/>
  <c r="F36" i="23"/>
  <c r="D29" i="23"/>
  <c r="E29" i="23" s="1"/>
  <c r="D32" i="23"/>
  <c r="E32" i="23" s="1"/>
  <c r="E14" i="22"/>
  <c r="D31" i="23"/>
  <c r="F31" i="23" s="1"/>
  <c r="D35" i="23"/>
  <c r="E35" i="23" s="1"/>
  <c r="E27" i="23" l="1"/>
  <c r="F28" i="23"/>
  <c r="E30" i="23"/>
  <c r="D57" i="23"/>
  <c r="F57" i="23" s="1"/>
  <c r="E37" i="22"/>
  <c r="C24" i="23"/>
  <c r="C58" i="23" s="1"/>
  <c r="F33" i="23"/>
  <c r="F29" i="23"/>
  <c r="D26" i="23"/>
  <c r="D92" i="23" s="1"/>
  <c r="E6" i="22"/>
  <c r="E31" i="23"/>
  <c r="F35" i="23"/>
  <c r="F6" i="22"/>
  <c r="F32" i="23"/>
  <c r="E57" i="23" l="1"/>
  <c r="C90" i="23"/>
  <c r="D24" i="23"/>
  <c r="F26" i="23"/>
  <c r="E26" i="23"/>
  <c r="D58" i="23" l="1"/>
  <c r="D90" i="23" s="1"/>
  <c r="E90" i="23" s="1"/>
  <c r="F24" i="23"/>
  <c r="E24" i="23"/>
  <c r="F92" i="23"/>
  <c r="E92" i="23"/>
  <c r="F58" i="23" l="1"/>
  <c r="E58" i="23"/>
  <c r="F90" i="23" l="1"/>
</calcChain>
</file>

<file path=xl/sharedStrings.xml><?xml version="1.0" encoding="utf-8"?>
<sst xmlns="http://schemas.openxmlformats.org/spreadsheetml/2006/main" count="2446" uniqueCount="200">
  <si>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</si>
  <si>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</si>
  <si>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</si>
  <si>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</si>
  <si>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</si>
  <si>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</si>
  <si>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</si>
  <si>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</si>
  <si>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</si>
  <si>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</si>
  <si>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</si>
  <si>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</si>
  <si>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</si>
  <si>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</si>
  <si>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</si>
  <si>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</si>
  <si>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D.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</si>
  <si>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</si>
  <si>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</si>
  <si>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</si>
  <si>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</si>
  <si>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</si>
  <si>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</si>
  <si>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</si>
  <si>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</si>
  <si>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</si>
  <si>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</si>
  <si>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</si>
  <si>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</si>
  <si>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</si>
  <si>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</si>
  <si>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</si>
  <si>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</si>
  <si>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</si>
  <si>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</si>
  <si>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</si>
  <si>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</si>
  <si>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</si>
  <si>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</si>
  <si>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</si>
  <si>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</si>
  <si>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</si>
  <si>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</si>
  <si>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</si>
  <si>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</si>
  <si>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</si>
  <si>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</si>
  <si>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</si>
  <si>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</si>
  <si>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</si>
  <si>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</si>
  <si>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</si>
  <si>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</si>
  <si>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</si>
  <si>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</si>
  <si>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</si>
  <si>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</si>
  <si>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</si>
  <si>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</si>
  <si>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</si>
  <si>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</si>
  <si>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</si>
  <si>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</si>
  <si>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</si>
  <si>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</si>
  <si>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</si>
  <si>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</si>
  <si>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</si>
  <si>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</si>
  <si>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</si>
  <si>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</si>
  <si>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</si>
  <si>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</si>
  <si>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</si>
  <si>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</si>
  <si>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</si>
  <si>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</si>
  <si>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</si>
  <si>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</si>
  <si>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</si>
  <si>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</si>
  <si>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</si>
  <si>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</si>
  <si>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</si>
  <si>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</si>
  <si>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</si>
  <si>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</si>
  <si>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</si>
  <si>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</si>
  <si>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</si>
  <si>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</si>
  <si>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</si>
  <si>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</si>
  <si>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</si>
  <si>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</si>
  <si>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</si>
  <si>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</si>
  <si>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</si>
  <si>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</si>
  <si>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</si>
  <si>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</si>
  <si>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</si>
  <si>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</si>
  <si>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</si>
  <si>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</si>
  <si>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</si>
  <si>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</si>
  <si>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</si>
  <si>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</si>
  <si>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</si>
  <si>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</si>
  <si>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</si>
  <si>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</si>
  <si>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</si>
  <si>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</si>
  <si>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</si>
  <si>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</si>
  <si>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</si>
  <si>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</si>
  <si>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</si>
  <si>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</si>
  <si>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</si>
  <si>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</si>
  <si>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</si>
  <si>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</si>
  <si>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</si>
  <si>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</si>
  <si>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</si>
  <si>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</si>
  <si>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</si>
  <si>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</si>
  <si>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</si>
  <si>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</si>
  <si>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</si>
  <si>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</si>
  <si>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</si>
  <si>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</si>
  <si>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</si>
  <si>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</si>
  <si>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w tys. zł</t>
  </si>
  <si>
    <t>programy terapeutyczne (lekowe), w tym: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</si>
  <si>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</si>
  <si>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</si>
  <si>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</si>
  <si>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</si>
  <si>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</si>
  <si>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</si>
  <si>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</si>
  <si>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</si>
  <si>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</si>
  <si>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</si>
  <si>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</si>
  <si>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</si>
  <si>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</si>
  <si>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</si>
  <si>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</si>
  <si>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</si>
  <si>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</si>
  <si>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</si>
  <si>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</si>
  <si>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</si>
  <si>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</si>
  <si>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</si>
  <si>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</si>
  <si>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</si>
  <si>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</si>
  <si>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Przychody i koszty Narodowego Funduszu Zdrowia - łącznie</t>
  </si>
  <si>
    <t>Koszty Centrali Narodowego Funduszu Zdrowia</t>
  </si>
  <si>
    <t>Koszty oddziałów wojewódzkich NFZ - łącznie</t>
  </si>
  <si>
    <t>Plan 
po zmianie</t>
  </si>
  <si>
    <t>Różnica 
kol.4-kol.3</t>
  </si>
  <si>
    <t>Dynamika
kol.4/kol.3</t>
  </si>
  <si>
    <t>Przychody netto z działalności
(1-2+3-4-5) + A1 + A2 + A3 + A4</t>
  </si>
  <si>
    <t>Odpis na taryfikację świdczeń, o którym mowa w art. 31t ust. 5-8 ustawy</t>
  </si>
  <si>
    <t>Pozostałe koszty (F1+ … +F4)</t>
  </si>
  <si>
    <t>Przychody finansowe (G1 + G2)</t>
  </si>
  <si>
    <t>Składka należna brutto w roku planowania równa przypisowi składki
(1.1 + 1.2)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</si>
  <si>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</si>
  <si>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</si>
  <si>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</si>
  <si>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</si>
  <si>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B2.19</t>
  </si>
  <si>
    <t>rezerwa na koszty świadczeń opieki zdrowotnej udzielone w ramach transgranicznej opieki zdrowotnej</t>
  </si>
  <si>
    <t>Koszty administracyjne (D1 + … + D8)</t>
  </si>
  <si>
    <t>podatki i opłaty, z tego:</t>
  </si>
  <si>
    <t>ubezpieczenie społeczne i inne świadczenia, z tego:</t>
  </si>
  <si>
    <t>Koszty administracyjne ( D1+...+D8 )</t>
  </si>
  <si>
    <t>podatki i opłaty, z tego</t>
  </si>
  <si>
    <t>B5</t>
  </si>
  <si>
    <t>Koszty finansowania leku, środka spożywczego specjalnego przeznaczenia żywieniowego oraz wyrobu medycznego w części finansowanej z budżetu państwa zgodnie z art. 43a ust. 3 ustawy</t>
  </si>
  <si>
    <t>Koszty realizacji zadań (B1 + B2 + B3 + B4 + B5)</t>
  </si>
  <si>
    <t>WYNIK FINANSOWY OGÓŁEM NETTO
(C - D + E - F + G - H)</t>
  </si>
  <si>
    <t>WYNIK NA DZIAŁALNOŚCI (A - B)</t>
  </si>
  <si>
    <t xml:space="preserve"> PRZYCHODY - ogółem</t>
  </si>
  <si>
    <t xml:space="preserve"> KOSZTY - ogółem</t>
  </si>
  <si>
    <t>dotacje z budżetu państwa na finansowanie zadań, o których mowa w art. 97 ust. 3
pkt 2a-2c, 3 i 3b ustawy</t>
  </si>
  <si>
    <t>Plan na
2016 rok</t>
  </si>
  <si>
    <t>Koszty świadczeń opieki zdrowotnej  (B2.1 + … + B2.19)</t>
  </si>
  <si>
    <t>Koszty świadczeń opieki zdrowotnej  (B2.1+...+B2.19)</t>
  </si>
  <si>
    <t>ZMIANA PLANU FINANSOWEGO NARODOWEGO FUNDUSZU ZDROWIA NA 2016 ROK Z DNIA 28 GRUDNIA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</si>
</sst>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6"/>
      <name val="Times New Roman CE"/>
      <charset val="238"/>
    </font>
    <font>
      <b/>
      <sz val="12"/>
      <name val="Times New Roman CE"/>
      <family val="1"/>
      <charset val="238"/>
    </font>
    <font>
      <b/>
      <sz val="24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8"/>
      <name val="Times New Roman"/>
      <family val="1"/>
      <charset val="238"/>
    </font>
    <font>
      <b/>
      <sz val="20"/>
      <name val="Times New Roman CE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20"/>
      <name val="Times New Roman CE"/>
      <charset val="238"/>
    </font>
    <font>
      <b/>
      <sz val="14"/>
      <name val="Times New Roman CE"/>
      <charset val="238"/>
    </font>
    <font>
      <sz val="8"/>
      <color theme="1"/>
      <name val="Verdana"/>
      <family val="2"/>
      <charset val="238"/>
    </font>
    <font>
      <b/>
      <sz val="18"/>
      <color theme="0"/>
      <name val="Times New Roman"/>
      <family val="1"/>
      <charset val="238"/>
    </font>
    <font>
      <sz val="14"/>
      <name val="Times New Roman"/>
      <family val="1"/>
    </font>
    <font>
      <sz val="14"/>
      <name val="Times New Roman CE"/>
      <charset val="238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1" fillId="0" borderId="0"/>
    <xf numFmtId="0" fontId="29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</cellStyleXfs>
  <cellXfs count="112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0" fontId="4" fillId="0" borderId="0" xfId="0" applyFont="1" applyFill="1" applyBorder="1"/>
    <xf numFmtId="0" fontId="18" fillId="0" borderId="0" xfId="0" applyFont="1" applyFill="1" applyBorder="1"/>
    <xf numFmtId="0" fontId="4" fillId="0" borderId="0" xfId="0" applyFont="1" applyFill="1"/>
    <xf numFmtId="3" fontId="16" fillId="0" borderId="1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10" fillId="0" borderId="0" xfId="0" applyFont="1" applyFill="1" applyAlignment="1">
      <alignment vertical="center"/>
    </xf>
    <xf numFmtId="0" fontId="3" fillId="0" borderId="0" xfId="0" applyFont="1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4" fillId="0" borderId="1" xfId="18" applyFont="1" applyFill="1" applyBorder="1" applyAlignment="1" applyProtection="1">
      <alignment horizontal="left" vertical="center" wrapText="1" indent="2"/>
    </xf>
    <xf numFmtId="0" fontId="24" fillId="0" borderId="1" xfId="16" applyFont="1" applyFill="1" applyBorder="1" applyAlignment="1" applyProtection="1">
      <alignment horizontal="left" vertical="center" wrapText="1" indent="2"/>
    </xf>
    <xf numFmtId="0" fontId="27" fillId="0" borderId="1" xfId="18" applyFont="1" applyFill="1" applyBorder="1" applyAlignment="1" applyProtection="1">
      <alignment horizontal="left" vertical="center" wrapText="1" indent="2"/>
    </xf>
    <xf numFmtId="0" fontId="12" fillId="0" borderId="1" xfId="18" applyFont="1" applyFill="1" applyBorder="1" applyAlignment="1" applyProtection="1">
      <alignment horizontal="left" vertical="center" wrapText="1" indent="1"/>
    </xf>
    <xf numFmtId="0" fontId="26" fillId="0" borderId="1" xfId="18" applyFont="1" applyFill="1" applyBorder="1" applyAlignment="1" applyProtection="1">
      <alignment horizontal="left" vertical="center" wrapText="1" indent="2"/>
    </xf>
    <xf numFmtId="0" fontId="26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 applyAlignment="1" applyProtection="1">
      <alignment vertical="center"/>
      <protection locked="0"/>
    </xf>
    <xf numFmtId="0" fontId="22" fillId="0" borderId="0" xfId="0" applyFont="1" applyFill="1"/>
    <xf numFmtId="0" fontId="22" fillId="0" borderId="0" xfId="0" applyFont="1" applyFill="1" applyAlignment="1" applyProtection="1">
      <alignment vertical="center"/>
      <protection locked="0"/>
    </xf>
    <xf numFmtId="0" fontId="12" fillId="0" borderId="1" xfId="18" applyFont="1" applyFill="1" applyBorder="1" applyAlignment="1" applyProtection="1">
      <alignment horizontal="left" vertical="center" wrapText="1" indent="2"/>
    </xf>
    <xf numFmtId="0" fontId="13" fillId="0" borderId="1" xfId="18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2"/>
    </xf>
    <xf numFmtId="0" fontId="13" fillId="0" borderId="1" xfId="17" quotePrefix="1" applyFont="1" applyFill="1" applyBorder="1" applyAlignment="1" applyProtection="1">
      <alignment horizontal="left" vertical="center" wrapText="1" indent="2"/>
    </xf>
    <xf numFmtId="0" fontId="12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/>
    <xf numFmtId="3" fontId="10" fillId="0" borderId="1" xfId="0" applyNumberFormat="1" applyFont="1" applyFill="1" applyBorder="1" applyAlignment="1" applyProtection="1">
      <alignment horizontal="right" vertical="center"/>
    </xf>
    <xf numFmtId="0" fontId="25" fillId="0" borderId="1" xfId="18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6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  <protection locked="0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</xf>
    <xf numFmtId="10" fontId="16" fillId="0" borderId="1" xfId="0" applyNumberFormat="1" applyFont="1" applyFill="1" applyBorder="1" applyAlignment="1" applyProtection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  <protection locked="0"/>
    </xf>
    <xf numFmtId="10" fontId="16" fillId="0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0" fontId="15" fillId="2" borderId="1" xfId="18" applyFont="1" applyFill="1" applyBorder="1" applyAlignment="1" applyProtection="1">
      <alignment horizontal="left" vertical="center" wrapText="1" indent="1"/>
    </xf>
    <xf numFmtId="0" fontId="36" fillId="0" borderId="1" xfId="18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4"/>
    </xf>
    <xf numFmtId="0" fontId="24" fillId="0" borderId="1" xfId="18" applyFont="1" applyFill="1" applyBorder="1" applyAlignment="1" applyProtection="1">
      <alignment horizontal="left" vertical="center" wrapText="1"/>
    </xf>
    <xf numFmtId="0" fontId="36" fillId="0" borderId="1" xfId="18" applyFont="1" applyFill="1" applyBorder="1" applyAlignment="1" applyProtection="1">
      <alignment horizontal="left" vertical="center" wrapText="1"/>
    </xf>
    <xf numFmtId="0" fontId="25" fillId="0" borderId="1" xfId="18" applyFont="1" applyFill="1" applyBorder="1" applyAlignment="1" applyProtection="1">
      <alignment horizontal="left" vertical="center" wrapText="1"/>
    </xf>
    <xf numFmtId="0" fontId="26" fillId="0" borderId="1" xfId="18" applyFont="1" applyFill="1" applyBorder="1" applyAlignment="1" applyProtection="1">
      <alignment horizontal="left" vertical="center" wrapText="1"/>
    </xf>
    <xf numFmtId="0" fontId="12" fillId="0" borderId="1" xfId="18" applyFont="1" applyFill="1" applyBorder="1" applyAlignment="1" applyProtection="1">
      <alignment horizontal="left" vertical="center" wrapText="1"/>
    </xf>
    <xf numFmtId="0" fontId="37" fillId="0" borderId="1" xfId="18" applyFont="1" applyFill="1" applyBorder="1" applyAlignment="1" applyProtection="1">
      <alignment horizontal="left" vertical="center" wrapText="1"/>
    </xf>
    <xf numFmtId="0" fontId="6" fillId="2" borderId="1" xfId="18" applyFont="1" applyFill="1" applyBorder="1" applyAlignment="1" applyProtection="1">
      <alignment horizontal="left" vertical="center" wrapText="1"/>
      <protection locked="0"/>
    </xf>
    <xf numFmtId="0" fontId="13" fillId="0" borderId="1" xfId="18" applyFont="1" applyFill="1" applyBorder="1" applyAlignment="1" applyProtection="1">
      <alignment horizontal="left" vertical="center" wrapText="1"/>
    </xf>
    <xf numFmtId="0" fontId="13" fillId="0" borderId="1" xfId="18" quotePrefix="1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 indent="2"/>
    </xf>
    <xf numFmtId="0" fontId="38" fillId="0" borderId="1" xfId="18" applyFont="1" applyFill="1" applyBorder="1" applyAlignment="1" applyProtection="1">
      <alignment horizontal="left" vertical="center" wrapText="1"/>
    </xf>
    <xf numFmtId="0" fontId="38" fillId="0" borderId="1" xfId="18" applyFont="1" applyFill="1" applyBorder="1" applyAlignment="1" applyProtection="1">
      <alignment horizontal="left" vertical="center" wrapText="1" indent="3"/>
    </xf>
    <xf numFmtId="0" fontId="15" fillId="0" borderId="1" xfId="18" applyFont="1" applyFill="1" applyBorder="1" applyAlignment="1" applyProtection="1">
      <alignment horizontal="left" vertical="center" wrapText="1"/>
    </xf>
    <xf numFmtId="0" fontId="15" fillId="0" borderId="1" xfId="18" applyFont="1" applyFill="1" applyBorder="1" applyAlignment="1" applyProtection="1">
      <alignment horizontal="left" vertical="center" wrapText="1" indent="2"/>
    </xf>
    <xf numFmtId="0" fontId="6" fillId="0" borderId="1" xfId="16" applyFont="1" applyFill="1" applyBorder="1" applyAlignment="1" applyProtection="1">
      <alignment horizontal="left" vertical="center" wrapText="1" indent="2"/>
    </xf>
    <xf numFmtId="0" fontId="33" fillId="0" borderId="1" xfId="18" applyFont="1" applyFill="1" applyBorder="1" applyAlignment="1" applyProtection="1">
      <alignment horizontal="left" vertical="center" wrapText="1"/>
    </xf>
    <xf numFmtId="0" fontId="33" fillId="0" borderId="1" xfId="17" applyFont="1" applyFill="1" applyBorder="1" applyAlignment="1" applyProtection="1">
      <alignment horizontal="left" vertical="center" wrapText="1" indent="3"/>
    </xf>
    <xf numFmtId="0" fontId="33" fillId="0" borderId="1" xfId="17" applyFont="1" applyFill="1" applyBorder="1" applyAlignment="1" applyProtection="1">
      <alignment horizontal="left" vertical="center" wrapText="1" indent="4"/>
    </xf>
    <xf numFmtId="0" fontId="22" fillId="0" borderId="0" xfId="0" applyFont="1" applyFill="1" applyBorder="1" applyAlignment="1" applyProtection="1">
      <alignment vertical="center"/>
      <protection locked="0"/>
    </xf>
    <xf numFmtId="168" fontId="35" fillId="0" borderId="0" xfId="19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0" fontId="14" fillId="0" borderId="1" xfId="0" applyNumberFormat="1" applyFont="1" applyFill="1" applyBorder="1" applyAlignment="1">
      <alignment horizontal="right" vertical="center"/>
    </xf>
    <xf numFmtId="0" fontId="23" fillId="0" borderId="1" xfId="17" applyFont="1" applyFill="1" applyBorder="1" applyAlignment="1" applyProtection="1">
      <alignment horizontal="left" vertical="center" wrapText="1"/>
    </xf>
    <xf numFmtId="0" fontId="23" fillId="0" borderId="1" xfId="17" applyFont="1" applyFill="1" applyBorder="1" applyAlignment="1" applyProtection="1">
      <alignment horizontal="left" vertical="center" wrapText="1" indent="1"/>
    </xf>
    <xf numFmtId="0" fontId="11" fillId="2" borderId="1" xfId="16" applyFont="1" applyFill="1" applyBorder="1" applyAlignment="1" applyProtection="1">
      <alignment horizontal="center" vertical="center" wrapText="1"/>
    </xf>
    <xf numFmtId="3" fontId="32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16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23" fillId="2" borderId="1" xfId="18" applyFont="1" applyFill="1" applyBorder="1" applyAlignment="1" applyProtection="1">
      <alignment horizontal="left" vertical="center" wrapText="1"/>
    </xf>
    <xf numFmtId="0" fontId="23" fillId="2" borderId="1" xfId="18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horizontal="right" vertical="center"/>
    </xf>
    <xf numFmtId="10" fontId="14" fillId="2" borderId="1" xfId="0" applyNumberFormat="1" applyFont="1" applyFill="1" applyBorder="1" applyAlignment="1">
      <alignment horizontal="right" vertical="center"/>
    </xf>
    <xf numFmtId="0" fontId="23" fillId="2" borderId="1" xfId="18" quotePrefix="1" applyFont="1" applyFill="1" applyBorder="1" applyAlignment="1" applyProtection="1">
      <alignment horizontal="left" vertical="center" wrapText="1"/>
    </xf>
    <xf numFmtId="0" fontId="23" fillId="2" borderId="1" xfId="18" quotePrefix="1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 applyProtection="1">
      <alignment vertical="center"/>
      <protection locked="0"/>
    </xf>
    <xf numFmtId="3" fontId="14" fillId="2" borderId="1" xfId="0" applyNumberFormat="1" applyFont="1" applyFill="1" applyBorder="1" applyAlignment="1" applyProtection="1">
      <alignment horizontal="right" vertical="center"/>
      <protection locked="0"/>
    </xf>
    <xf numFmtId="10" fontId="14" fillId="2" borderId="1" xfId="0" applyNumberFormat="1" applyFont="1" applyFill="1" applyBorder="1" applyAlignment="1" applyProtection="1">
      <alignment vertical="center"/>
      <protection locked="0"/>
    </xf>
    <xf numFmtId="0" fontId="12" fillId="2" borderId="1" xfId="18" applyFont="1" applyFill="1" applyBorder="1" applyAlignment="1" applyProtection="1">
      <alignment horizontal="left" vertical="center" wrapText="1"/>
    </xf>
    <xf numFmtId="0" fontId="13" fillId="2" borderId="1" xfId="18" applyFont="1" applyFill="1" applyBorder="1" applyAlignment="1" applyProtection="1">
      <alignment horizontal="left" vertical="center" wrapText="1" indent="2"/>
    </xf>
    <xf numFmtId="3" fontId="16" fillId="2" borderId="1" xfId="0" applyNumberFormat="1" applyFont="1" applyFill="1" applyBorder="1" applyAlignment="1">
      <alignment horizontal="right" vertical="center"/>
    </xf>
    <xf numFmtId="10" fontId="16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/>
    </xf>
    <xf numFmtId="0" fontId="12" fillId="2" borderId="1" xfId="18" applyFont="1" applyFill="1" applyBorder="1" applyAlignment="1" applyProtection="1">
      <alignment horizontal="left" vertical="center" wrapText="1" indent="1"/>
    </xf>
    <xf numFmtId="0" fontId="23" fillId="2" borderId="1" xfId="17" applyFont="1" applyFill="1" applyBorder="1" applyAlignment="1" applyProtection="1">
      <alignment horizontal="left" vertical="center" wrapText="1"/>
    </xf>
    <xf numFmtId="0" fontId="23" fillId="2" borderId="1" xfId="17" applyFont="1" applyFill="1" applyBorder="1" applyAlignment="1" applyProtection="1">
      <alignment horizontal="left" vertical="center" wrapText="1" indent="1"/>
    </xf>
    <xf numFmtId="0" fontId="23" fillId="2" borderId="2" xfId="18" applyFont="1" applyFill="1" applyBorder="1" applyAlignment="1" applyProtection="1">
      <alignment horizontal="left" vertical="center" wrapText="1" indent="1"/>
    </xf>
    <xf numFmtId="3" fontId="17" fillId="2" borderId="1" xfId="0" applyNumberFormat="1" applyFont="1" applyFill="1" applyBorder="1" applyAlignment="1">
      <alignment horizontal="right" vertical="center"/>
    </xf>
    <xf numFmtId="10" fontId="17" fillId="2" borderId="1" xfId="0" applyNumberFormat="1" applyFont="1" applyFill="1" applyBorder="1" applyAlignment="1">
      <alignment horizontal="right" vertical="center"/>
    </xf>
    <xf numFmtId="0" fontId="23" fillId="2" borderId="2" xfId="17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vertical="center"/>
    </xf>
    <xf numFmtId="168" fontId="17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/>
      <protection locked="0"/>
    </xf>
    <xf numFmtId="0" fontId="13" fillId="2" borderId="1" xfId="18" applyFont="1" applyFill="1" applyBorder="1" applyAlignment="1" applyProtection="1">
      <alignment horizontal="left" vertical="center" wrapText="1" indent="1"/>
    </xf>
    <xf numFmtId="10" fontId="14" fillId="2" borderId="1" xfId="0" applyNumberFormat="1" applyFont="1" applyFill="1" applyBorder="1" applyAlignment="1" applyProtection="1">
      <alignment horizontal="right" vertical="center"/>
      <protection locked="0"/>
    </xf>
    <xf numFmtId="3" fontId="14" fillId="2" borderId="1" xfId="0" applyNumberFormat="1" applyFont="1" applyFill="1" applyBorder="1" applyAlignment="1" applyProtection="1">
      <alignment vertical="center"/>
    </xf>
    <xf numFmtId="10" fontId="14" fillId="2" borderId="1" xfId="0" applyNumberFormat="1" applyFont="1" applyFill="1" applyBorder="1" applyAlignment="1" applyProtection="1">
      <alignment horizontal="right" vertical="center"/>
    </xf>
    <xf numFmtId="3" fontId="3" fillId="0" borderId="0" xfId="0" applyNumberFormat="1" applyFont="1" applyFill="1"/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 applyProtection="1">
      <alignment horizontal="left" vertical="center" wrapText="1"/>
      <protection locked="0"/>
    </xf>
  </cellXfs>
  <cellStyles count="21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Dziesiętny 2" xfId="13"/>
    <cellStyle name="Normal_laroux" xfId="14"/>
    <cellStyle name="normální_laroux" xfId="15"/>
    <cellStyle name="Normalny" xfId="0" builtinId="0"/>
    <cellStyle name="Normalny_03PlFin_0403" xfId="16"/>
    <cellStyle name="Normalny_WfMgkr1" xfId="17"/>
    <cellStyle name="Normalny_Wzór z 09.10.2001" xfId="18"/>
    <cellStyle name="Procentowy" xfId="19" builtinId="5"/>
    <cellStyle name="Styl 1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arzyna.sadowska/Ustawienia%20lokalne/Temporary%20Internet%20Files/OLK78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"/>
  <sheetViews>
    <sheetView showGridLines="0" tabSelected="1" view="pageBreakPreview" zoomScale="55" zoomScaleNormal="55" zoomScaleSheetLayoutView="55" workbookViewId="0">
      <pane xSplit="2" ySplit="5" topLeftCell="C6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0.42578125" style="12" customWidth="1"/>
    <col min="2" max="2" width="125.85546875" style="12" customWidth="1"/>
    <col min="3" max="3" width="26.7109375" style="3" customWidth="1"/>
    <col min="4" max="4" width="26.85546875" style="3" customWidth="1"/>
    <col min="5" max="6" width="20.7109375" style="3" customWidth="1"/>
    <col min="7" max="16384" width="9.140625" style="3"/>
  </cols>
  <sheetData>
    <row r="1" spans="1:6" s="28" customFormat="1" ht="58.5" customHeight="1" x14ac:dyDescent="0.35">
      <c r="A1" s="111" t="s">
        <v>199</v>
      </c>
      <c r="B1" s="111"/>
      <c r="C1" s="111"/>
      <c r="D1" s="111"/>
      <c r="E1" s="111"/>
      <c r="F1" s="111"/>
    </row>
    <row r="2" spans="1:6" s="21" customFormat="1" ht="35.25" customHeight="1" x14ac:dyDescent="0.3">
      <c r="A2" s="110" t="s">
        <v>166</v>
      </c>
      <c r="B2" s="110"/>
      <c r="C2" s="36"/>
    </row>
    <row r="3" spans="1:6" s="6" customFormat="1" ht="36" customHeight="1" x14ac:dyDescent="0.25">
      <c r="A3" s="4"/>
      <c r="B3" s="5"/>
      <c r="C3" s="35"/>
      <c r="D3" s="35"/>
      <c r="E3" s="35" t="s">
        <v>139</v>
      </c>
    </row>
    <row r="4" spans="1:6" s="72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ht="19.5" customHeight="1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s="10" customFormat="1" ht="63.75" customHeight="1" x14ac:dyDescent="0.4">
      <c r="A6" s="81">
        <v>1</v>
      </c>
      <c r="B6" s="82" t="s">
        <v>176</v>
      </c>
      <c r="C6" s="83">
        <f>C7+C8</f>
        <v>69273291</v>
      </c>
      <c r="D6" s="83">
        <f>D7+D8</f>
        <v>69273291</v>
      </c>
      <c r="E6" s="83" t="str">
        <f>IF(C6=D6,"-",D6-C6)</f>
        <v>-</v>
      </c>
      <c r="F6" s="84">
        <f>IF(C6=0,"-",D6/C6)</f>
        <v>1</v>
      </c>
    </row>
    <row r="7" spans="1:6" ht="30" customHeight="1" x14ac:dyDescent="0.2">
      <c r="A7" s="55" t="s">
        <v>76</v>
      </c>
      <c r="B7" s="24" t="s">
        <v>77</v>
      </c>
      <c r="C7" s="7">
        <v>65844312</v>
      </c>
      <c r="D7" s="7">
        <f>C7</f>
        <v>65844312</v>
      </c>
      <c r="E7" s="7" t="str">
        <f t="shared" ref="E7:E80" si="0">IF(C7=D7,"-",D7-C7)</f>
        <v>-</v>
      </c>
      <c r="F7" s="42">
        <f t="shared" ref="F7:F80" si="1">IF(C7=0,"-",D7/C7)</f>
        <v>1</v>
      </c>
    </row>
    <row r="8" spans="1:6" ht="30" customHeight="1" x14ac:dyDescent="0.2">
      <c r="A8" s="55" t="s">
        <v>78</v>
      </c>
      <c r="B8" s="24" t="s">
        <v>79</v>
      </c>
      <c r="C8" s="7">
        <v>3428979</v>
      </c>
      <c r="D8" s="7">
        <f>C8</f>
        <v>3428979</v>
      </c>
      <c r="E8" s="7" t="str">
        <f t="shared" si="0"/>
        <v>-</v>
      </c>
      <c r="F8" s="42">
        <f t="shared" si="1"/>
        <v>1</v>
      </c>
    </row>
    <row r="9" spans="1:6" s="10" customFormat="1" ht="38.25" customHeight="1" x14ac:dyDescent="0.4">
      <c r="A9" s="81">
        <v>2</v>
      </c>
      <c r="B9" s="82" t="s">
        <v>177</v>
      </c>
      <c r="C9" s="83">
        <f>C10+C11</f>
        <v>0</v>
      </c>
      <c r="D9" s="83">
        <f>D10+D11</f>
        <v>0</v>
      </c>
      <c r="E9" s="83" t="str">
        <f t="shared" si="0"/>
        <v>-</v>
      </c>
      <c r="F9" s="84" t="str">
        <f t="shared" si="1"/>
        <v>-</v>
      </c>
    </row>
    <row r="10" spans="1:6" ht="30" customHeight="1" x14ac:dyDescent="0.2">
      <c r="A10" s="55" t="s">
        <v>80</v>
      </c>
      <c r="B10" s="24" t="s">
        <v>81</v>
      </c>
      <c r="C10" s="7">
        <v>0</v>
      </c>
      <c r="D10" s="7">
        <f>C10</f>
        <v>0</v>
      </c>
      <c r="E10" s="7" t="str">
        <f t="shared" si="0"/>
        <v>-</v>
      </c>
      <c r="F10" s="42" t="str">
        <f t="shared" si="1"/>
        <v>-</v>
      </c>
    </row>
    <row r="11" spans="1:6" ht="30" customHeight="1" x14ac:dyDescent="0.2">
      <c r="A11" s="55" t="s">
        <v>82</v>
      </c>
      <c r="B11" s="24" t="s">
        <v>83</v>
      </c>
      <c r="C11" s="7">
        <v>0</v>
      </c>
      <c r="D11" s="7">
        <f>C11</f>
        <v>0</v>
      </c>
      <c r="E11" s="7" t="str">
        <f t="shared" si="0"/>
        <v>-</v>
      </c>
      <c r="F11" s="42" t="str">
        <f t="shared" si="1"/>
        <v>-</v>
      </c>
    </row>
    <row r="12" spans="1:6" s="10" customFormat="1" ht="39.75" customHeight="1" x14ac:dyDescent="0.4">
      <c r="A12" s="81">
        <v>3</v>
      </c>
      <c r="B12" s="82" t="s">
        <v>178</v>
      </c>
      <c r="C12" s="83">
        <f>C13+C14</f>
        <v>185000</v>
      </c>
      <c r="D12" s="83">
        <f>D13+D14</f>
        <v>185000</v>
      </c>
      <c r="E12" s="83" t="str">
        <f t="shared" si="0"/>
        <v>-</v>
      </c>
      <c r="F12" s="84">
        <f t="shared" si="1"/>
        <v>1</v>
      </c>
    </row>
    <row r="13" spans="1:6" ht="30" customHeight="1" x14ac:dyDescent="0.2">
      <c r="A13" s="55" t="s">
        <v>84</v>
      </c>
      <c r="B13" s="24" t="s">
        <v>77</v>
      </c>
      <c r="C13" s="7">
        <v>200000</v>
      </c>
      <c r="D13" s="7">
        <f>C13</f>
        <v>200000</v>
      </c>
      <c r="E13" s="7" t="str">
        <f t="shared" si="0"/>
        <v>-</v>
      </c>
      <c r="F13" s="42">
        <f t="shared" si="1"/>
        <v>1</v>
      </c>
    </row>
    <row r="14" spans="1:6" ht="30" customHeight="1" x14ac:dyDescent="0.2">
      <c r="A14" s="55" t="s">
        <v>85</v>
      </c>
      <c r="B14" s="24" t="s">
        <v>79</v>
      </c>
      <c r="C14" s="7">
        <v>-15000</v>
      </c>
      <c r="D14" s="7">
        <f>C14</f>
        <v>-15000</v>
      </c>
      <c r="E14" s="7" t="str">
        <f t="shared" si="0"/>
        <v>-</v>
      </c>
      <c r="F14" s="42">
        <f t="shared" si="1"/>
        <v>1</v>
      </c>
    </row>
    <row r="15" spans="1:6" s="10" customFormat="1" ht="39" customHeight="1" x14ac:dyDescent="0.4">
      <c r="A15" s="81">
        <v>4</v>
      </c>
      <c r="B15" s="82" t="s">
        <v>179</v>
      </c>
      <c r="C15" s="83">
        <f>C16+C17</f>
        <v>134823</v>
      </c>
      <c r="D15" s="83">
        <f>D16+D17</f>
        <v>134823</v>
      </c>
      <c r="E15" s="83" t="str">
        <f t="shared" si="0"/>
        <v>-</v>
      </c>
      <c r="F15" s="84">
        <f t="shared" si="1"/>
        <v>1</v>
      </c>
    </row>
    <row r="16" spans="1:6" ht="30" customHeight="1" x14ac:dyDescent="0.2">
      <c r="A16" s="56" t="s">
        <v>86</v>
      </c>
      <c r="B16" s="24" t="s">
        <v>87</v>
      </c>
      <c r="C16" s="7">
        <v>131689</v>
      </c>
      <c r="D16" s="7">
        <f>C16</f>
        <v>131689</v>
      </c>
      <c r="E16" s="7" t="str">
        <f t="shared" si="0"/>
        <v>-</v>
      </c>
      <c r="F16" s="42">
        <f t="shared" si="1"/>
        <v>1</v>
      </c>
    </row>
    <row r="17" spans="1:6" ht="30" customHeight="1" x14ac:dyDescent="0.2">
      <c r="A17" s="56" t="s">
        <v>88</v>
      </c>
      <c r="B17" s="24" t="s">
        <v>89</v>
      </c>
      <c r="C17" s="7">
        <v>3134</v>
      </c>
      <c r="D17" s="7">
        <f>C17</f>
        <v>3134</v>
      </c>
      <c r="E17" s="7" t="str">
        <f t="shared" si="0"/>
        <v>-</v>
      </c>
      <c r="F17" s="42">
        <f t="shared" si="1"/>
        <v>1</v>
      </c>
    </row>
    <row r="18" spans="1:6" s="10" customFormat="1" ht="39" customHeight="1" x14ac:dyDescent="0.4">
      <c r="A18" s="81">
        <v>5</v>
      </c>
      <c r="B18" s="82" t="s">
        <v>173</v>
      </c>
      <c r="C18" s="83">
        <v>48492</v>
      </c>
      <c r="D18" s="83">
        <f>C18-22679</f>
        <v>25813</v>
      </c>
      <c r="E18" s="83">
        <f t="shared" si="0"/>
        <v>-22679</v>
      </c>
      <c r="F18" s="84">
        <f t="shared" si="1"/>
        <v>0.5323</v>
      </c>
    </row>
    <row r="19" spans="1:6" s="10" customFormat="1" ht="63.75" customHeight="1" x14ac:dyDescent="0.4">
      <c r="A19" s="85" t="s">
        <v>128</v>
      </c>
      <c r="B19" s="86" t="s">
        <v>172</v>
      </c>
      <c r="C19" s="83">
        <f>(C6-C9+C12-C15-C18)+C20+C21+C22+C23</f>
        <v>72197668</v>
      </c>
      <c r="D19" s="83">
        <f>(D6-D9+D12-D15-D18)+D20+D21+D22+D23</f>
        <v>72220347</v>
      </c>
      <c r="E19" s="83">
        <f t="shared" si="0"/>
        <v>22679</v>
      </c>
      <c r="F19" s="84">
        <f t="shared" si="1"/>
        <v>1.0003</v>
      </c>
    </row>
    <row r="20" spans="1:6" ht="31.5" customHeight="1" x14ac:dyDescent="0.2">
      <c r="A20" s="55" t="s">
        <v>90</v>
      </c>
      <c r="B20" s="25" t="s">
        <v>91</v>
      </c>
      <c r="C20" s="7">
        <v>157873</v>
      </c>
      <c r="D20" s="7">
        <f>C20</f>
        <v>157873</v>
      </c>
      <c r="E20" s="7" t="str">
        <f t="shared" si="0"/>
        <v>-</v>
      </c>
      <c r="F20" s="42">
        <f t="shared" si="1"/>
        <v>1</v>
      </c>
    </row>
    <row r="21" spans="1:6" ht="31.5" customHeight="1" x14ac:dyDescent="0.2">
      <c r="A21" s="55" t="s">
        <v>92</v>
      </c>
      <c r="B21" s="25" t="s">
        <v>93</v>
      </c>
      <c r="C21" s="7">
        <v>0</v>
      </c>
      <c r="D21" s="7">
        <f>C21</f>
        <v>0</v>
      </c>
      <c r="E21" s="7" t="str">
        <f t="shared" si="0"/>
        <v>-</v>
      </c>
      <c r="F21" s="42" t="str">
        <f t="shared" si="1"/>
        <v>-</v>
      </c>
    </row>
    <row r="22" spans="1:6" ht="50.25" customHeight="1" x14ac:dyDescent="0.2">
      <c r="A22" s="55" t="s">
        <v>94</v>
      </c>
      <c r="B22" s="25" t="s">
        <v>195</v>
      </c>
      <c r="C22" s="7">
        <v>894258</v>
      </c>
      <c r="D22" s="7">
        <f>C22</f>
        <v>894258</v>
      </c>
      <c r="E22" s="7" t="str">
        <f t="shared" si="0"/>
        <v>-</v>
      </c>
      <c r="F22" s="42">
        <f t="shared" si="1"/>
        <v>1</v>
      </c>
    </row>
    <row r="23" spans="1:6" ht="31.5" customHeight="1" x14ac:dyDescent="0.2">
      <c r="A23" s="55" t="s">
        <v>95</v>
      </c>
      <c r="B23" s="26" t="s">
        <v>96</v>
      </c>
      <c r="C23" s="7">
        <v>1870561</v>
      </c>
      <c r="D23" s="7">
        <f>C23</f>
        <v>1870561</v>
      </c>
      <c r="E23" s="7" t="str">
        <f t="shared" si="0"/>
        <v>-</v>
      </c>
      <c r="F23" s="42">
        <f t="shared" si="1"/>
        <v>1</v>
      </c>
    </row>
    <row r="24" spans="1:6" s="10" customFormat="1" ht="36" customHeight="1" x14ac:dyDescent="0.4">
      <c r="A24" s="85" t="s">
        <v>129</v>
      </c>
      <c r="B24" s="86" t="s">
        <v>190</v>
      </c>
      <c r="C24" s="83">
        <f>C25+C26+C54+C55+C56</f>
        <v>73702419</v>
      </c>
      <c r="D24" s="83">
        <f>D25+D26+D54+D55+D56</f>
        <v>73702419</v>
      </c>
      <c r="E24" s="83" t="str">
        <f t="shared" si="0"/>
        <v>-</v>
      </c>
      <c r="F24" s="84">
        <f t="shared" si="1"/>
        <v>1</v>
      </c>
    </row>
    <row r="25" spans="1:6" s="10" customFormat="1" ht="36" customHeight="1" x14ac:dyDescent="0.4">
      <c r="A25" s="85" t="s">
        <v>97</v>
      </c>
      <c r="B25" s="86" t="s">
        <v>98</v>
      </c>
      <c r="C25" s="83">
        <v>692733</v>
      </c>
      <c r="D25" s="83">
        <f>C25</f>
        <v>692733</v>
      </c>
      <c r="E25" s="83" t="str">
        <f t="shared" si="0"/>
        <v>-</v>
      </c>
      <c r="F25" s="84">
        <f t="shared" si="1"/>
        <v>1</v>
      </c>
    </row>
    <row r="26" spans="1:6" s="10" customFormat="1" ht="36" customHeight="1" x14ac:dyDescent="0.4">
      <c r="A26" s="85" t="s">
        <v>0</v>
      </c>
      <c r="B26" s="86" t="s">
        <v>197</v>
      </c>
      <c r="C26" s="87">
        <f>C27+C28+C29+C34+C35+C36+C37+C38+C39+C40+C41+C42+C43+C44+C48+C49+C51+C52+C53</f>
        <v>71014125</v>
      </c>
      <c r="D26" s="87">
        <f>D27+D28+D29+D34+D35+D36+D37+D38+D39+D40+D41+D42+D43+D44+D48+D49+D51+D52+D53</f>
        <v>71014125</v>
      </c>
      <c r="E26" s="88" t="str">
        <f>IF(C26=D26,"-",D26-C26)</f>
        <v>-</v>
      </c>
      <c r="F26" s="89">
        <f t="shared" si="1"/>
        <v>1</v>
      </c>
    </row>
    <row r="27" spans="1:6" ht="30" customHeight="1" x14ac:dyDescent="0.2">
      <c r="A27" s="57" t="s">
        <v>1</v>
      </c>
      <c r="B27" s="58" t="s">
        <v>117</v>
      </c>
      <c r="C27" s="7">
        <f>CENTRALA!C7+'Razem OW'!C7</f>
        <v>9465686</v>
      </c>
      <c r="D27" s="7">
        <f>CENTRALA!D7+'Razem OW'!D7</f>
        <v>9465686</v>
      </c>
      <c r="E27" s="7" t="str">
        <f t="shared" si="0"/>
        <v>-</v>
      </c>
      <c r="F27" s="42">
        <f t="shared" si="1"/>
        <v>1</v>
      </c>
    </row>
    <row r="28" spans="1:6" ht="30" customHeight="1" x14ac:dyDescent="0.2">
      <c r="A28" s="57" t="s">
        <v>2</v>
      </c>
      <c r="B28" s="58" t="s">
        <v>118</v>
      </c>
      <c r="C28" s="7">
        <f>CENTRALA!C8+'Razem OW'!C8</f>
        <v>5749505</v>
      </c>
      <c r="D28" s="7">
        <f>CENTRALA!D8+'Razem OW'!D8</f>
        <v>5749505</v>
      </c>
      <c r="E28" s="7" t="str">
        <f>IF(C28=D28,"-",D28-C28)</f>
        <v>-</v>
      </c>
      <c r="F28" s="42">
        <f t="shared" si="1"/>
        <v>1</v>
      </c>
    </row>
    <row r="29" spans="1:6" ht="30" customHeight="1" x14ac:dyDescent="0.2">
      <c r="A29" s="57" t="s">
        <v>3</v>
      </c>
      <c r="B29" s="58" t="s">
        <v>115</v>
      </c>
      <c r="C29" s="7">
        <f>CENTRALA!C9+'Razem OW'!C9</f>
        <v>34379582</v>
      </c>
      <c r="D29" s="7">
        <f>CENTRALA!D9+'Razem OW'!D9</f>
        <v>34379582</v>
      </c>
      <c r="E29" s="7" t="str">
        <f t="shared" si="0"/>
        <v>-</v>
      </c>
      <c r="F29" s="42">
        <f t="shared" si="1"/>
        <v>1</v>
      </c>
    </row>
    <row r="30" spans="1:6" ht="30" customHeight="1" x14ac:dyDescent="0.2">
      <c r="A30" s="59" t="s">
        <v>55</v>
      </c>
      <c r="B30" s="60" t="s">
        <v>140</v>
      </c>
      <c r="C30" s="7">
        <f>CENTRALA!C10+'Razem OW'!C10</f>
        <v>3270118</v>
      </c>
      <c r="D30" s="7">
        <f>CENTRALA!D10+'Razem OW'!D10</f>
        <v>3270118</v>
      </c>
      <c r="E30" s="7" t="str">
        <f t="shared" si="0"/>
        <v>-</v>
      </c>
      <c r="F30" s="42">
        <f t="shared" si="1"/>
        <v>1</v>
      </c>
    </row>
    <row r="31" spans="1:6" ht="30" customHeight="1" x14ac:dyDescent="0.2">
      <c r="A31" s="59" t="s">
        <v>141</v>
      </c>
      <c r="B31" s="60" t="s">
        <v>144</v>
      </c>
      <c r="C31" s="7">
        <f>CENTRALA!C11+'Razem OW'!C11</f>
        <v>2979758</v>
      </c>
      <c r="D31" s="7">
        <f>CENTRALA!D11+'Razem OW'!D11</f>
        <v>2979758</v>
      </c>
      <c r="E31" s="7" t="str">
        <f t="shared" si="0"/>
        <v>-</v>
      </c>
      <c r="F31" s="42">
        <f t="shared" si="1"/>
        <v>1</v>
      </c>
    </row>
    <row r="32" spans="1:6" ht="30" customHeight="1" x14ac:dyDescent="0.2">
      <c r="A32" s="59" t="s">
        <v>142</v>
      </c>
      <c r="B32" s="60" t="s">
        <v>145</v>
      </c>
      <c r="C32" s="7">
        <f>CENTRALA!C12+'Razem OW'!C12</f>
        <v>1425552</v>
      </c>
      <c r="D32" s="7">
        <f>CENTRALA!D12+'Razem OW'!D12</f>
        <v>1425552</v>
      </c>
      <c r="E32" s="7" t="str">
        <f t="shared" si="0"/>
        <v>-</v>
      </c>
      <c r="F32" s="42">
        <f t="shared" si="1"/>
        <v>1</v>
      </c>
    </row>
    <row r="33" spans="1:6" ht="30" customHeight="1" x14ac:dyDescent="0.2">
      <c r="A33" s="59" t="s">
        <v>143</v>
      </c>
      <c r="B33" s="60" t="s">
        <v>146</v>
      </c>
      <c r="C33" s="7">
        <f>CENTRALA!C13+'Razem OW'!C13</f>
        <v>659948</v>
      </c>
      <c r="D33" s="7">
        <f>CENTRALA!D13+'Razem OW'!D13</f>
        <v>659948</v>
      </c>
      <c r="E33" s="7" t="str">
        <f t="shared" si="0"/>
        <v>-</v>
      </c>
      <c r="F33" s="42">
        <f t="shared" si="1"/>
        <v>1</v>
      </c>
    </row>
    <row r="34" spans="1:6" ht="30" customHeight="1" x14ac:dyDescent="0.2">
      <c r="A34" s="57" t="s">
        <v>4</v>
      </c>
      <c r="B34" s="58" t="s">
        <v>123</v>
      </c>
      <c r="C34" s="7">
        <f>CENTRALA!C14+'Razem OW'!C14</f>
        <v>2494456</v>
      </c>
      <c r="D34" s="7">
        <f>CENTRALA!D14+'Razem OW'!D14</f>
        <v>2494456</v>
      </c>
      <c r="E34" s="7" t="str">
        <f t="shared" si="0"/>
        <v>-</v>
      </c>
      <c r="F34" s="42">
        <f t="shared" si="1"/>
        <v>1</v>
      </c>
    </row>
    <row r="35" spans="1:6" ht="30" customHeight="1" x14ac:dyDescent="0.2">
      <c r="A35" s="57" t="s">
        <v>5</v>
      </c>
      <c r="B35" s="58" t="s">
        <v>119</v>
      </c>
      <c r="C35" s="7">
        <f>CENTRALA!C15+'Razem OW'!C15</f>
        <v>2222847</v>
      </c>
      <c r="D35" s="7">
        <f>CENTRALA!D15+'Razem OW'!D15</f>
        <v>2222847</v>
      </c>
      <c r="E35" s="7" t="str">
        <f t="shared" si="0"/>
        <v>-</v>
      </c>
      <c r="F35" s="42">
        <f t="shared" si="1"/>
        <v>1</v>
      </c>
    </row>
    <row r="36" spans="1:6" ht="30" customHeight="1" x14ac:dyDescent="0.2">
      <c r="A36" s="57" t="s">
        <v>6</v>
      </c>
      <c r="B36" s="58" t="s">
        <v>125</v>
      </c>
      <c r="C36" s="7">
        <f>CENTRALA!C16+'Razem OW'!C16</f>
        <v>1291868</v>
      </c>
      <c r="D36" s="7">
        <f>CENTRALA!D16+'Razem OW'!D16</f>
        <v>1291868</v>
      </c>
      <c r="E36" s="7" t="str">
        <f t="shared" si="0"/>
        <v>-</v>
      </c>
      <c r="F36" s="42">
        <f t="shared" si="1"/>
        <v>1</v>
      </c>
    </row>
    <row r="37" spans="1:6" ht="30" customHeight="1" x14ac:dyDescent="0.2">
      <c r="A37" s="57" t="s">
        <v>7</v>
      </c>
      <c r="B37" s="58" t="s">
        <v>124</v>
      </c>
      <c r="C37" s="7">
        <f>CENTRALA!C17+'Razem OW'!C17</f>
        <v>455583</v>
      </c>
      <c r="D37" s="7">
        <f>CENTRALA!D17+'Razem OW'!D17</f>
        <v>455583</v>
      </c>
      <c r="E37" s="7" t="str">
        <f>IF(C37=D37,"-",D37-C37)</f>
        <v>-</v>
      </c>
      <c r="F37" s="42">
        <f>IF(C37=0,"-",D37/C37)</f>
        <v>1</v>
      </c>
    </row>
    <row r="38" spans="1:6" ht="30" customHeight="1" x14ac:dyDescent="0.2">
      <c r="A38" s="57" t="s">
        <v>8</v>
      </c>
      <c r="B38" s="58" t="s">
        <v>120</v>
      </c>
      <c r="C38" s="7">
        <f>CENTRALA!C18+'Razem OW'!C18</f>
        <v>1820715</v>
      </c>
      <c r="D38" s="7">
        <f>CENTRALA!D18+'Razem OW'!D18</f>
        <v>1820715</v>
      </c>
      <c r="E38" s="7" t="str">
        <f t="shared" si="0"/>
        <v>-</v>
      </c>
      <c r="F38" s="42">
        <f t="shared" si="1"/>
        <v>1</v>
      </c>
    </row>
    <row r="39" spans="1:6" ht="30" customHeight="1" x14ac:dyDescent="0.2">
      <c r="A39" s="57" t="s">
        <v>9</v>
      </c>
      <c r="B39" s="58" t="s">
        <v>121</v>
      </c>
      <c r="C39" s="7">
        <f>CENTRALA!C19+'Razem OW'!C19</f>
        <v>648357</v>
      </c>
      <c r="D39" s="7">
        <f>CENTRALA!D19+'Razem OW'!D19</f>
        <v>648357</v>
      </c>
      <c r="E39" s="7" t="str">
        <f t="shared" si="0"/>
        <v>-</v>
      </c>
      <c r="F39" s="42">
        <f t="shared" si="1"/>
        <v>1</v>
      </c>
    </row>
    <row r="40" spans="1:6" ht="30" customHeight="1" x14ac:dyDescent="0.2">
      <c r="A40" s="57" t="s">
        <v>10</v>
      </c>
      <c r="B40" s="58" t="s">
        <v>126</v>
      </c>
      <c r="C40" s="7">
        <f>CENTRALA!C20+'Razem OW'!C20</f>
        <v>46699</v>
      </c>
      <c r="D40" s="7">
        <f>CENTRALA!D20+'Razem OW'!D20</f>
        <v>46699</v>
      </c>
      <c r="E40" s="7" t="str">
        <f t="shared" si="0"/>
        <v>-</v>
      </c>
      <c r="F40" s="42">
        <f t="shared" si="1"/>
        <v>1</v>
      </c>
    </row>
    <row r="41" spans="1:6" ht="40.5" x14ac:dyDescent="0.2">
      <c r="A41" s="57" t="s">
        <v>11</v>
      </c>
      <c r="B41" s="58" t="s">
        <v>122</v>
      </c>
      <c r="C41" s="7">
        <f>CENTRALA!C21+'Razem OW'!C21</f>
        <v>183294</v>
      </c>
      <c r="D41" s="7">
        <f>CENTRALA!D21+'Razem OW'!D21</f>
        <v>183294</v>
      </c>
      <c r="E41" s="7" t="str">
        <f t="shared" si="0"/>
        <v>-</v>
      </c>
      <c r="F41" s="42">
        <f t="shared" si="1"/>
        <v>1</v>
      </c>
    </row>
    <row r="42" spans="1:6" ht="30" customHeight="1" x14ac:dyDescent="0.2">
      <c r="A42" s="57" t="s">
        <v>12</v>
      </c>
      <c r="B42" s="58" t="s">
        <v>163</v>
      </c>
      <c r="C42" s="7">
        <f>CENTRALA!C22+'Razem OW'!C22</f>
        <v>1935478</v>
      </c>
      <c r="D42" s="7">
        <f>CENTRALA!D22+'Razem OW'!D22</f>
        <v>1935478</v>
      </c>
      <c r="E42" s="7" t="str">
        <f t="shared" si="0"/>
        <v>-</v>
      </c>
      <c r="F42" s="42">
        <f t="shared" si="1"/>
        <v>1</v>
      </c>
    </row>
    <row r="43" spans="1:6" ht="25.5" x14ac:dyDescent="0.2">
      <c r="A43" s="57" t="s">
        <v>13</v>
      </c>
      <c r="B43" s="58" t="s">
        <v>147</v>
      </c>
      <c r="C43" s="7">
        <f>CENTRALA!C23+'Razem OW'!C23</f>
        <v>929044</v>
      </c>
      <c r="D43" s="7">
        <f>CENTRALA!D23+'Razem OW'!D23</f>
        <v>929044</v>
      </c>
      <c r="E43" s="7" t="str">
        <f t="shared" si="0"/>
        <v>-</v>
      </c>
      <c r="F43" s="42">
        <f t="shared" si="1"/>
        <v>1</v>
      </c>
    </row>
    <row r="44" spans="1:6" ht="30" customHeight="1" x14ac:dyDescent="0.2">
      <c r="A44" s="61" t="s">
        <v>14</v>
      </c>
      <c r="B44" s="62" t="s">
        <v>180</v>
      </c>
      <c r="C44" s="7">
        <f>CENTRALA!C24+'Razem OW'!C24</f>
        <v>8181865</v>
      </c>
      <c r="D44" s="7">
        <f>CENTRALA!D24+'Razem OW'!D24</f>
        <v>8181865</v>
      </c>
      <c r="E44" s="7" t="str">
        <f t="shared" si="0"/>
        <v>-</v>
      </c>
      <c r="F44" s="42">
        <f t="shared" si="1"/>
        <v>1</v>
      </c>
    </row>
    <row r="45" spans="1:6" ht="41.25" customHeight="1" x14ac:dyDescent="0.2">
      <c r="A45" s="59" t="s">
        <v>127</v>
      </c>
      <c r="B45" s="60" t="s">
        <v>149</v>
      </c>
      <c r="C45" s="7">
        <f>CENTRALA!C25+'Razem OW'!C25</f>
        <v>8150761</v>
      </c>
      <c r="D45" s="7">
        <f>CENTRALA!D25+'Razem OW'!D25</f>
        <v>8150761</v>
      </c>
      <c r="E45" s="7" t="str">
        <f t="shared" si="0"/>
        <v>-</v>
      </c>
      <c r="F45" s="42">
        <f t="shared" si="1"/>
        <v>1</v>
      </c>
    </row>
    <row r="46" spans="1:6" ht="30" customHeight="1" x14ac:dyDescent="0.2">
      <c r="A46" s="59" t="s">
        <v>148</v>
      </c>
      <c r="B46" s="60" t="s">
        <v>151</v>
      </c>
      <c r="C46" s="7">
        <f>CENTRALA!C26+'Razem OW'!C26</f>
        <v>19388</v>
      </c>
      <c r="D46" s="7">
        <f>CENTRALA!D26+'Razem OW'!D26</f>
        <v>19388</v>
      </c>
      <c r="E46" s="7" t="str">
        <f t="shared" si="0"/>
        <v>-</v>
      </c>
      <c r="F46" s="42">
        <f t="shared" si="1"/>
        <v>1</v>
      </c>
    </row>
    <row r="47" spans="1:6" ht="41.25" customHeight="1" x14ac:dyDescent="0.2">
      <c r="A47" s="59" t="s">
        <v>152</v>
      </c>
      <c r="B47" s="60" t="s">
        <v>150</v>
      </c>
      <c r="C47" s="7">
        <f>CENTRALA!C27+'Razem OW'!C27</f>
        <v>11716</v>
      </c>
      <c r="D47" s="7">
        <f>CENTRALA!D27+'Razem OW'!D27</f>
        <v>11716</v>
      </c>
      <c r="E47" s="7" t="str">
        <f t="shared" si="0"/>
        <v>-</v>
      </c>
      <c r="F47" s="42">
        <f t="shared" si="1"/>
        <v>1</v>
      </c>
    </row>
    <row r="48" spans="1:6" ht="31.5" customHeight="1" x14ac:dyDescent="0.2">
      <c r="A48" s="52" t="s">
        <v>15</v>
      </c>
      <c r="B48" s="63" t="s">
        <v>111</v>
      </c>
      <c r="C48" s="7">
        <f>CENTRALA!C28+'Razem OW'!C28</f>
        <v>535079</v>
      </c>
      <c r="D48" s="7">
        <f>CENTRALA!D28+'Razem OW'!D28</f>
        <v>535079</v>
      </c>
      <c r="E48" s="7" t="str">
        <f t="shared" si="0"/>
        <v>-</v>
      </c>
      <c r="F48" s="42">
        <f t="shared" si="1"/>
        <v>1</v>
      </c>
    </row>
    <row r="49" spans="1:6" ht="31.5" customHeight="1" x14ac:dyDescent="0.2">
      <c r="A49" s="52" t="s">
        <v>108</v>
      </c>
      <c r="B49" s="24" t="s">
        <v>153</v>
      </c>
      <c r="C49" s="7">
        <f>CENTRALA!C29+'Razem OW'!C29</f>
        <v>0</v>
      </c>
      <c r="D49" s="7">
        <f>CENTRALA!D29+'Razem OW'!D29</f>
        <v>0</v>
      </c>
      <c r="E49" s="7" t="str">
        <f t="shared" si="0"/>
        <v>-</v>
      </c>
      <c r="F49" s="42" t="str">
        <f t="shared" si="1"/>
        <v>-</v>
      </c>
    </row>
    <row r="50" spans="1:6" ht="30" customHeight="1" x14ac:dyDescent="0.2">
      <c r="A50" s="59" t="s">
        <v>154</v>
      </c>
      <c r="B50" s="60" t="s">
        <v>165</v>
      </c>
      <c r="C50" s="7">
        <f>CENTRALA!C30+'Razem OW'!C30</f>
        <v>0</v>
      </c>
      <c r="D50" s="7">
        <f>CENTRALA!D30+'Razem OW'!D30</f>
        <v>0</v>
      </c>
      <c r="E50" s="7" t="str">
        <f t="shared" si="0"/>
        <v>-</v>
      </c>
      <c r="F50" s="42" t="str">
        <f t="shared" si="1"/>
        <v>-</v>
      </c>
    </row>
    <row r="51" spans="1:6" ht="30" customHeight="1" x14ac:dyDescent="0.2">
      <c r="A51" s="52" t="s">
        <v>109</v>
      </c>
      <c r="B51" s="24" t="s">
        <v>112</v>
      </c>
      <c r="C51" s="7">
        <f>CENTRALA!C31+'Razem OW'!C31</f>
        <v>0</v>
      </c>
      <c r="D51" s="7">
        <f>CENTRALA!D31+'Razem OW'!D31</f>
        <v>0</v>
      </c>
      <c r="E51" s="7" t="str">
        <f t="shared" si="0"/>
        <v>-</v>
      </c>
      <c r="F51" s="42" t="str">
        <f t="shared" si="1"/>
        <v>-</v>
      </c>
    </row>
    <row r="52" spans="1:6" ht="30" customHeight="1" x14ac:dyDescent="0.2">
      <c r="A52" s="52" t="s">
        <v>110</v>
      </c>
      <c r="B52" s="24" t="s">
        <v>164</v>
      </c>
      <c r="C52" s="7">
        <f>CENTRALA!C32+'Razem OW'!C32</f>
        <v>288207</v>
      </c>
      <c r="D52" s="7">
        <f>CENTRALA!D32+'Razem OW'!D32</f>
        <v>288207</v>
      </c>
      <c r="E52" s="7" t="str">
        <f t="shared" si="0"/>
        <v>-</v>
      </c>
      <c r="F52" s="42">
        <f t="shared" si="1"/>
        <v>1</v>
      </c>
    </row>
    <row r="53" spans="1:6" ht="40.5" x14ac:dyDescent="0.2">
      <c r="A53" s="52" t="s">
        <v>181</v>
      </c>
      <c r="B53" s="24" t="s">
        <v>182</v>
      </c>
      <c r="C53" s="7">
        <f>CENTRALA!C33+'Razem OW'!C33</f>
        <v>385860</v>
      </c>
      <c r="D53" s="7">
        <f>CENTRALA!D33+'Razem OW'!D33</f>
        <v>385860</v>
      </c>
      <c r="E53" s="7" t="str">
        <f>IF(C53=D53,"-",D53-C53)</f>
        <v>-</v>
      </c>
      <c r="F53" s="42">
        <f>IF(C53=0,"-",D53/C53)</f>
        <v>1</v>
      </c>
    </row>
    <row r="54" spans="1:6" s="10" customFormat="1" ht="30.75" customHeight="1" x14ac:dyDescent="0.4">
      <c r="A54" s="90" t="s">
        <v>57</v>
      </c>
      <c r="B54" s="91" t="s">
        <v>99</v>
      </c>
      <c r="C54" s="92">
        <f>CENTRALA!C34+'Razem OW'!C34</f>
        <v>0</v>
      </c>
      <c r="D54" s="92">
        <f>C54</f>
        <v>0</v>
      </c>
      <c r="E54" s="92" t="str">
        <f t="shared" si="0"/>
        <v>-</v>
      </c>
      <c r="F54" s="93" t="str">
        <f t="shared" si="1"/>
        <v>-</v>
      </c>
    </row>
    <row r="55" spans="1:6" s="10" customFormat="1" ht="30.75" customHeight="1" x14ac:dyDescent="0.4">
      <c r="A55" s="94" t="s">
        <v>56</v>
      </c>
      <c r="B55" s="91" t="s">
        <v>59</v>
      </c>
      <c r="C55" s="83">
        <f>CENTRALA!C35+'Razem OW'!C35</f>
        <v>1870561</v>
      </c>
      <c r="D55" s="83">
        <f>CENTRALA!D35+'Razem OW'!D35</f>
        <v>1870561</v>
      </c>
      <c r="E55" s="83" t="str">
        <f t="shared" si="0"/>
        <v>-</v>
      </c>
      <c r="F55" s="84">
        <f t="shared" si="1"/>
        <v>1</v>
      </c>
    </row>
    <row r="56" spans="1:6" s="10" customFormat="1" ht="60.75" x14ac:dyDescent="0.4">
      <c r="A56" s="94" t="s">
        <v>188</v>
      </c>
      <c r="B56" s="91" t="s">
        <v>189</v>
      </c>
      <c r="C56" s="83">
        <f>CENTRALA!C36+'Razem OW'!C36</f>
        <v>125000</v>
      </c>
      <c r="D56" s="83">
        <f>CENTRALA!D36+'Razem OW'!D36</f>
        <v>125000</v>
      </c>
      <c r="E56" s="83" t="str">
        <f t="shared" si="0"/>
        <v>-</v>
      </c>
      <c r="F56" s="84">
        <f t="shared" si="1"/>
        <v>1</v>
      </c>
    </row>
    <row r="57" spans="1:6" s="10" customFormat="1" ht="45.75" customHeight="1" x14ac:dyDescent="0.4">
      <c r="A57" s="94" t="s">
        <v>155</v>
      </c>
      <c r="B57" s="91" t="s">
        <v>156</v>
      </c>
      <c r="C57" s="83">
        <f>CENTRALA!C37+'Razem OW'!C37</f>
        <v>11821571</v>
      </c>
      <c r="D57" s="83">
        <f>CENTRALA!D37+'Razem OW'!D37</f>
        <v>11821571</v>
      </c>
      <c r="E57" s="83" t="str">
        <f>IF(C57=D57,"-",D57-C57)</f>
        <v>-</v>
      </c>
      <c r="F57" s="84">
        <f t="shared" si="1"/>
        <v>1</v>
      </c>
    </row>
    <row r="58" spans="1:6" s="10" customFormat="1" ht="33" customHeight="1" x14ac:dyDescent="0.4">
      <c r="A58" s="81" t="s">
        <v>130</v>
      </c>
      <c r="B58" s="82" t="s">
        <v>192</v>
      </c>
      <c r="C58" s="83">
        <f>C19-C24</f>
        <v>-1504751</v>
      </c>
      <c r="D58" s="83">
        <f>D19-D24</f>
        <v>-1482072</v>
      </c>
      <c r="E58" s="83">
        <f t="shared" si="0"/>
        <v>22679</v>
      </c>
      <c r="F58" s="84">
        <f t="shared" si="1"/>
        <v>0.9849</v>
      </c>
    </row>
    <row r="59" spans="1:6" s="10" customFormat="1" ht="33" customHeight="1" x14ac:dyDescent="0.4">
      <c r="A59" s="81" t="s">
        <v>131</v>
      </c>
      <c r="B59" s="82" t="s">
        <v>183</v>
      </c>
      <c r="C59" s="83">
        <f>C60+C61+C62+C70+C72+C77+C78+C79</f>
        <v>737422</v>
      </c>
      <c r="D59" s="83">
        <f>D60+D61+D62+D70+D72+D77+D78+D79</f>
        <v>737422</v>
      </c>
      <c r="E59" s="83" t="str">
        <f t="shared" si="0"/>
        <v>-</v>
      </c>
      <c r="F59" s="84">
        <f t="shared" si="1"/>
        <v>1</v>
      </c>
    </row>
    <row r="60" spans="1:6" ht="30" customHeight="1" x14ac:dyDescent="0.2">
      <c r="A60" s="52" t="s">
        <v>17</v>
      </c>
      <c r="B60" s="23" t="s">
        <v>18</v>
      </c>
      <c r="C60" s="7">
        <f>CENTRALA!C39+'Razem OW'!C39</f>
        <v>26091</v>
      </c>
      <c r="D60" s="7">
        <f>CENTRALA!D39+'Razem OW'!D39</f>
        <v>26091</v>
      </c>
      <c r="E60" s="7" t="str">
        <f t="shared" si="0"/>
        <v>-</v>
      </c>
      <c r="F60" s="42">
        <f t="shared" si="1"/>
        <v>1</v>
      </c>
    </row>
    <row r="61" spans="1:6" ht="30" customHeight="1" x14ac:dyDescent="0.2">
      <c r="A61" s="52" t="s">
        <v>19</v>
      </c>
      <c r="B61" s="23" t="s">
        <v>20</v>
      </c>
      <c r="C61" s="7">
        <f>CENTRALA!C40+'Razem OW'!C40</f>
        <v>173186</v>
      </c>
      <c r="D61" s="7">
        <f>CENTRALA!D40+'Razem OW'!D40</f>
        <v>173186</v>
      </c>
      <c r="E61" s="7" t="str">
        <f t="shared" si="0"/>
        <v>-</v>
      </c>
      <c r="F61" s="42">
        <f t="shared" si="1"/>
        <v>1</v>
      </c>
    </row>
    <row r="62" spans="1:6" ht="30" customHeight="1" x14ac:dyDescent="0.2">
      <c r="A62" s="52" t="s">
        <v>21</v>
      </c>
      <c r="B62" s="27" t="s">
        <v>184</v>
      </c>
      <c r="C62" s="7">
        <f>C63+C65+C66+C67+C68+C69</f>
        <v>4587</v>
      </c>
      <c r="D62" s="7">
        <f>D63+D65+D66+D67+D68+D69</f>
        <v>4587</v>
      </c>
      <c r="E62" s="7" t="str">
        <f t="shared" si="0"/>
        <v>-</v>
      </c>
      <c r="F62" s="42">
        <f t="shared" si="1"/>
        <v>1</v>
      </c>
    </row>
    <row r="63" spans="1:6" s="8" customFormat="1" ht="30" customHeight="1" x14ac:dyDescent="0.2">
      <c r="A63" s="64" t="s">
        <v>38</v>
      </c>
      <c r="B63" s="65" t="s">
        <v>31</v>
      </c>
      <c r="C63" s="7">
        <f>CENTRALA!C42+'Razem OW'!C42</f>
        <v>619</v>
      </c>
      <c r="D63" s="7">
        <f>CENTRALA!D42+'Razem OW'!D42</f>
        <v>619</v>
      </c>
      <c r="E63" s="7" t="str">
        <f t="shared" si="0"/>
        <v>-</v>
      </c>
      <c r="F63" s="42">
        <f t="shared" si="1"/>
        <v>1</v>
      </c>
    </row>
    <row r="64" spans="1:6" s="8" customFormat="1" ht="30" customHeight="1" x14ac:dyDescent="0.2">
      <c r="A64" s="64" t="s">
        <v>39</v>
      </c>
      <c r="B64" s="66" t="s">
        <v>32</v>
      </c>
      <c r="C64" s="7">
        <f>CENTRALA!C43+'Razem OW'!C43</f>
        <v>616</v>
      </c>
      <c r="D64" s="7">
        <f>CENTRALA!D43+'Razem OW'!D43</f>
        <v>616</v>
      </c>
      <c r="E64" s="7" t="str">
        <f t="shared" si="0"/>
        <v>-</v>
      </c>
      <c r="F64" s="42">
        <f t="shared" si="1"/>
        <v>1</v>
      </c>
    </row>
    <row r="65" spans="1:6" s="8" customFormat="1" ht="30" customHeight="1" x14ac:dyDescent="0.2">
      <c r="A65" s="64" t="s">
        <v>40</v>
      </c>
      <c r="B65" s="65" t="s">
        <v>33</v>
      </c>
      <c r="C65" s="7">
        <f>CENTRALA!C44+'Razem OW'!C44</f>
        <v>653</v>
      </c>
      <c r="D65" s="7">
        <f>CENTRALA!D44+'Razem OW'!D44</f>
        <v>653</v>
      </c>
      <c r="E65" s="7" t="str">
        <f t="shared" si="0"/>
        <v>-</v>
      </c>
      <c r="F65" s="42">
        <f t="shared" si="1"/>
        <v>1</v>
      </c>
    </row>
    <row r="66" spans="1:6" s="8" customFormat="1" ht="30" customHeight="1" x14ac:dyDescent="0.2">
      <c r="A66" s="64" t="s">
        <v>41</v>
      </c>
      <c r="B66" s="65" t="s">
        <v>34</v>
      </c>
      <c r="C66" s="7">
        <f>CENTRALA!C45+'Razem OW'!C45</f>
        <v>20</v>
      </c>
      <c r="D66" s="7">
        <f>CENTRALA!D45+'Razem OW'!D45</f>
        <v>20</v>
      </c>
      <c r="E66" s="7" t="str">
        <f t="shared" si="0"/>
        <v>-</v>
      </c>
      <c r="F66" s="42">
        <f t="shared" si="1"/>
        <v>1</v>
      </c>
    </row>
    <row r="67" spans="1:6" s="8" customFormat="1" ht="30" customHeight="1" x14ac:dyDescent="0.2">
      <c r="A67" s="64" t="s">
        <v>42</v>
      </c>
      <c r="B67" s="65" t="s">
        <v>35</v>
      </c>
      <c r="C67" s="7">
        <f>CENTRALA!C46+'Razem OW'!C46</f>
        <v>0</v>
      </c>
      <c r="D67" s="7">
        <f>CENTRALA!D46+'Razem OW'!D46</f>
        <v>0</v>
      </c>
      <c r="E67" s="7" t="str">
        <f t="shared" si="0"/>
        <v>-</v>
      </c>
      <c r="F67" s="42" t="str">
        <f t="shared" si="1"/>
        <v>-</v>
      </c>
    </row>
    <row r="68" spans="1:6" s="8" customFormat="1" ht="30" customHeight="1" x14ac:dyDescent="0.2">
      <c r="A68" s="64" t="s">
        <v>43</v>
      </c>
      <c r="B68" s="65" t="s">
        <v>36</v>
      </c>
      <c r="C68" s="7">
        <f>CENTRALA!C47+'Razem OW'!C47</f>
        <v>2930</v>
      </c>
      <c r="D68" s="7">
        <f>CENTRALA!D47+'Razem OW'!D47</f>
        <v>2930</v>
      </c>
      <c r="E68" s="7" t="str">
        <f t="shared" si="0"/>
        <v>-</v>
      </c>
      <c r="F68" s="42">
        <f t="shared" si="1"/>
        <v>1</v>
      </c>
    </row>
    <row r="69" spans="1:6" s="9" customFormat="1" ht="30" customHeight="1" x14ac:dyDescent="0.25">
      <c r="A69" s="64" t="s">
        <v>44</v>
      </c>
      <c r="B69" s="65" t="s">
        <v>37</v>
      </c>
      <c r="C69" s="7">
        <f>CENTRALA!C48+'Razem OW'!C48</f>
        <v>365</v>
      </c>
      <c r="D69" s="7">
        <f>CENTRALA!D48+'Razem OW'!D48</f>
        <v>365</v>
      </c>
      <c r="E69" s="7" t="str">
        <f t="shared" si="0"/>
        <v>-</v>
      </c>
      <c r="F69" s="42">
        <f t="shared" si="1"/>
        <v>1</v>
      </c>
    </row>
    <row r="70" spans="1:6" ht="30" customHeight="1" x14ac:dyDescent="0.2">
      <c r="A70" s="52" t="s">
        <v>22</v>
      </c>
      <c r="B70" s="23" t="s">
        <v>157</v>
      </c>
      <c r="C70" s="7">
        <f>CENTRALA!C49+'Razem OW'!C49</f>
        <v>336936</v>
      </c>
      <c r="D70" s="7">
        <f>CENTRALA!D49+'Razem OW'!D49</f>
        <v>336936</v>
      </c>
      <c r="E70" s="7" t="str">
        <f t="shared" si="0"/>
        <v>-</v>
      </c>
      <c r="F70" s="42">
        <f t="shared" si="1"/>
        <v>1</v>
      </c>
    </row>
    <row r="71" spans="1:6" ht="30" customHeight="1" x14ac:dyDescent="0.2">
      <c r="A71" s="64" t="s">
        <v>158</v>
      </c>
      <c r="B71" s="65" t="s">
        <v>159</v>
      </c>
      <c r="C71" s="7">
        <f>CENTRALA!C50+'Razem OW'!C50</f>
        <v>1606</v>
      </c>
      <c r="D71" s="7">
        <f>CENTRALA!D50+'Razem OW'!D50</f>
        <v>1606</v>
      </c>
      <c r="E71" s="7" t="str">
        <f t="shared" si="0"/>
        <v>-</v>
      </c>
      <c r="F71" s="42">
        <f t="shared" si="1"/>
        <v>1</v>
      </c>
    </row>
    <row r="72" spans="1:6" ht="30" customHeight="1" x14ac:dyDescent="0.2">
      <c r="A72" s="52" t="s">
        <v>23</v>
      </c>
      <c r="B72" s="27" t="s">
        <v>185</v>
      </c>
      <c r="C72" s="7">
        <f>SUM(C73:C76)</f>
        <v>76118</v>
      </c>
      <c r="D72" s="7">
        <f>SUM(D73:D76)</f>
        <v>76118</v>
      </c>
      <c r="E72" s="7" t="str">
        <f t="shared" si="0"/>
        <v>-</v>
      </c>
      <c r="F72" s="42">
        <f t="shared" si="1"/>
        <v>1</v>
      </c>
    </row>
    <row r="73" spans="1:6" s="8" customFormat="1" ht="30" customHeight="1" x14ac:dyDescent="0.2">
      <c r="A73" s="64" t="s">
        <v>49</v>
      </c>
      <c r="B73" s="65" t="s">
        <v>45</v>
      </c>
      <c r="C73" s="7">
        <f>CENTRALA!C52+'Razem OW'!C52</f>
        <v>57710</v>
      </c>
      <c r="D73" s="7">
        <f>CENTRALA!D52+'Razem OW'!D52</f>
        <v>57710</v>
      </c>
      <c r="E73" s="7" t="str">
        <f t="shared" si="0"/>
        <v>-</v>
      </c>
      <c r="F73" s="42">
        <f t="shared" si="1"/>
        <v>1</v>
      </c>
    </row>
    <row r="74" spans="1:6" s="8" customFormat="1" ht="30" customHeight="1" x14ac:dyDescent="0.2">
      <c r="A74" s="64" t="s">
        <v>50</v>
      </c>
      <c r="B74" s="65" t="s">
        <v>46</v>
      </c>
      <c r="C74" s="7">
        <f>CENTRALA!C53+'Razem OW'!C53</f>
        <v>8074</v>
      </c>
      <c r="D74" s="7">
        <f>CENTRALA!D53+'Razem OW'!D53</f>
        <v>8074</v>
      </c>
      <c r="E74" s="7" t="str">
        <f t="shared" si="0"/>
        <v>-</v>
      </c>
      <c r="F74" s="42">
        <f t="shared" si="1"/>
        <v>1</v>
      </c>
    </row>
    <row r="75" spans="1:6" s="8" customFormat="1" ht="30" customHeight="1" x14ac:dyDescent="0.2">
      <c r="A75" s="64" t="s">
        <v>51</v>
      </c>
      <c r="B75" s="65" t="s">
        <v>47</v>
      </c>
      <c r="C75" s="7">
        <f>CENTRALA!C54+'Razem OW'!C54</f>
        <v>0</v>
      </c>
      <c r="D75" s="7">
        <f>CENTRALA!D54+'Razem OW'!D54</f>
        <v>0</v>
      </c>
      <c r="E75" s="7" t="str">
        <f t="shared" si="0"/>
        <v>-</v>
      </c>
      <c r="F75" s="42" t="str">
        <f t="shared" si="1"/>
        <v>-</v>
      </c>
    </row>
    <row r="76" spans="1:6" s="8" customFormat="1" ht="30" customHeight="1" x14ac:dyDescent="0.2">
      <c r="A76" s="64" t="s">
        <v>52</v>
      </c>
      <c r="B76" s="65" t="s">
        <v>48</v>
      </c>
      <c r="C76" s="7">
        <f>CENTRALA!C55+'Razem OW'!C55</f>
        <v>10334</v>
      </c>
      <c r="D76" s="7">
        <f>CENTRALA!D55+'Razem OW'!D55</f>
        <v>10334</v>
      </c>
      <c r="E76" s="7" t="str">
        <f t="shared" si="0"/>
        <v>-</v>
      </c>
      <c r="F76" s="42">
        <f t="shared" si="1"/>
        <v>1</v>
      </c>
    </row>
    <row r="77" spans="1:6" ht="30.75" customHeight="1" x14ac:dyDescent="0.2">
      <c r="A77" s="52" t="s">
        <v>24</v>
      </c>
      <c r="B77" s="23" t="s">
        <v>25</v>
      </c>
      <c r="C77" s="7">
        <f>CENTRALA!C56+'Razem OW'!C56</f>
        <v>50</v>
      </c>
      <c r="D77" s="7">
        <f>CENTRALA!D56+'Razem OW'!D56</f>
        <v>50</v>
      </c>
      <c r="E77" s="7" t="str">
        <f t="shared" si="0"/>
        <v>-</v>
      </c>
      <c r="F77" s="42">
        <f t="shared" si="1"/>
        <v>1</v>
      </c>
    </row>
    <row r="78" spans="1:6" ht="30.75" customHeight="1" x14ac:dyDescent="0.2">
      <c r="A78" s="52" t="s">
        <v>26</v>
      </c>
      <c r="B78" s="23" t="s">
        <v>160</v>
      </c>
      <c r="C78" s="7">
        <f>CENTRALA!C57+'Razem OW'!C57</f>
        <v>113861</v>
      </c>
      <c r="D78" s="7">
        <f>CENTRALA!D57+'Razem OW'!D57</f>
        <v>113861</v>
      </c>
      <c r="E78" s="7" t="str">
        <f t="shared" si="0"/>
        <v>-</v>
      </c>
      <c r="F78" s="42">
        <f t="shared" si="1"/>
        <v>1</v>
      </c>
    </row>
    <row r="79" spans="1:6" ht="30.75" customHeight="1" x14ac:dyDescent="0.2">
      <c r="A79" s="52" t="s">
        <v>27</v>
      </c>
      <c r="B79" s="23" t="s">
        <v>28</v>
      </c>
      <c r="C79" s="7">
        <f>CENTRALA!C58+'Razem OW'!C58</f>
        <v>6593</v>
      </c>
      <c r="D79" s="7">
        <f>CENTRALA!D58+'Razem OW'!D58</f>
        <v>6593</v>
      </c>
      <c r="E79" s="7" t="str">
        <f t="shared" si="0"/>
        <v>-</v>
      </c>
      <c r="F79" s="42">
        <f t="shared" si="1"/>
        <v>1</v>
      </c>
    </row>
    <row r="80" spans="1:6" s="10" customFormat="1" ht="33" customHeight="1" x14ac:dyDescent="0.4">
      <c r="A80" s="96" t="s">
        <v>132</v>
      </c>
      <c r="B80" s="97" t="s">
        <v>162</v>
      </c>
      <c r="C80" s="83">
        <v>214046</v>
      </c>
      <c r="D80" s="83">
        <f>C80+58917</f>
        <v>272963</v>
      </c>
      <c r="E80" s="83">
        <f t="shared" si="0"/>
        <v>58917</v>
      </c>
      <c r="F80" s="84">
        <f t="shared" si="1"/>
        <v>1.2753000000000001</v>
      </c>
    </row>
    <row r="81" spans="1:19" s="10" customFormat="1" ht="33" customHeight="1" x14ac:dyDescent="0.4">
      <c r="A81" s="96" t="s">
        <v>133</v>
      </c>
      <c r="B81" s="97" t="s">
        <v>174</v>
      </c>
      <c r="C81" s="83">
        <f>C82+C83+C84+C85</f>
        <v>293358</v>
      </c>
      <c r="D81" s="83">
        <f>D82+D83+D84+D85</f>
        <v>377471</v>
      </c>
      <c r="E81" s="83">
        <f t="shared" ref="E81:E92" si="2">IF(C81=D81,"-",D81-C81)</f>
        <v>84113</v>
      </c>
      <c r="F81" s="84">
        <f t="shared" ref="F81:F92" si="3">IF(C81=0,"-",D81/C81)</f>
        <v>1.2867</v>
      </c>
    </row>
    <row r="82" spans="1:19" ht="47.25" customHeight="1" x14ac:dyDescent="0.2">
      <c r="A82" s="55" t="s">
        <v>100</v>
      </c>
      <c r="B82" s="24" t="s">
        <v>113</v>
      </c>
      <c r="C82" s="7">
        <f>CENTRALA!C60+'Razem OW'!C60</f>
        <v>952</v>
      </c>
      <c r="D82" s="7">
        <f>CENTRALA!D60+'Razem OW'!D60</f>
        <v>795</v>
      </c>
      <c r="E82" s="7">
        <f t="shared" si="2"/>
        <v>-157</v>
      </c>
      <c r="F82" s="42">
        <f t="shared" si="3"/>
        <v>0.83509999999999995</v>
      </c>
    </row>
    <row r="83" spans="1:19" ht="33.75" customHeight="1" x14ac:dyDescent="0.2">
      <c r="A83" s="55" t="s">
        <v>29</v>
      </c>
      <c r="B83" s="24" t="s">
        <v>54</v>
      </c>
      <c r="C83" s="7">
        <f>CENTRALA!C61+'Razem OW'!C61</f>
        <v>205568</v>
      </c>
      <c r="D83" s="7">
        <f>CENTRALA!D61+'Razem OW'!D61</f>
        <v>262343</v>
      </c>
      <c r="E83" s="7">
        <f t="shared" si="2"/>
        <v>56775</v>
      </c>
      <c r="F83" s="42">
        <f t="shared" si="3"/>
        <v>1.2762</v>
      </c>
      <c r="S83" s="109">
        <f>E80+E86-E81-E89</f>
        <v>-22679</v>
      </c>
    </row>
    <row r="84" spans="1:19" ht="30" customHeight="1" x14ac:dyDescent="0.2">
      <c r="A84" s="55" t="s">
        <v>30</v>
      </c>
      <c r="B84" s="24" t="s">
        <v>102</v>
      </c>
      <c r="C84" s="7">
        <f>CENTRALA!C62+'Razem OW'!C62</f>
        <v>64045</v>
      </c>
      <c r="D84" s="7">
        <f>CENTRALA!D62+'Razem OW'!D62</f>
        <v>0</v>
      </c>
      <c r="E84" s="7">
        <f t="shared" si="2"/>
        <v>-64045</v>
      </c>
      <c r="F84" s="42">
        <f t="shared" si="3"/>
        <v>0</v>
      </c>
    </row>
    <row r="85" spans="1:19" ht="30" customHeight="1" x14ac:dyDescent="0.2">
      <c r="A85" s="55" t="s">
        <v>101</v>
      </c>
      <c r="B85" s="25" t="s">
        <v>103</v>
      </c>
      <c r="C85" s="7">
        <f>CENTRALA!C63+'Razem OW'!C63</f>
        <v>22793</v>
      </c>
      <c r="D85" s="7">
        <f>CENTRALA!D63+'Razem OW'!D63</f>
        <v>114333</v>
      </c>
      <c r="E85" s="7">
        <f t="shared" si="2"/>
        <v>91540</v>
      </c>
      <c r="F85" s="42">
        <f t="shared" si="3"/>
        <v>5.0160999999999998</v>
      </c>
    </row>
    <row r="86" spans="1:19" s="10" customFormat="1" ht="33" customHeight="1" x14ac:dyDescent="0.4">
      <c r="A86" s="96" t="s">
        <v>134</v>
      </c>
      <c r="B86" s="97" t="s">
        <v>175</v>
      </c>
      <c r="C86" s="83">
        <f>C87+C88</f>
        <v>56090</v>
      </c>
      <c r="D86" s="83">
        <f>D87+D88</f>
        <v>78755</v>
      </c>
      <c r="E86" s="83">
        <f t="shared" si="2"/>
        <v>22665</v>
      </c>
      <c r="F86" s="84">
        <f t="shared" si="3"/>
        <v>1.4040999999999999</v>
      </c>
    </row>
    <row r="87" spans="1:19" ht="30" customHeight="1" x14ac:dyDescent="0.2">
      <c r="A87" s="55" t="s">
        <v>104</v>
      </c>
      <c r="B87" s="24" t="s">
        <v>105</v>
      </c>
      <c r="C87" s="7">
        <v>56090</v>
      </c>
      <c r="D87" s="7">
        <f>C87-189</f>
        <v>55901</v>
      </c>
      <c r="E87" s="7">
        <f t="shared" si="2"/>
        <v>-189</v>
      </c>
      <c r="F87" s="42">
        <f t="shared" si="3"/>
        <v>0.99660000000000004</v>
      </c>
    </row>
    <row r="88" spans="1:19" ht="30" customHeight="1" x14ac:dyDescent="0.2">
      <c r="A88" s="55" t="s">
        <v>106</v>
      </c>
      <c r="B88" s="25" t="s">
        <v>107</v>
      </c>
      <c r="C88" s="7">
        <v>0</v>
      </c>
      <c r="D88" s="7">
        <f>C88+22854</f>
        <v>22854</v>
      </c>
      <c r="E88" s="7">
        <f t="shared" si="2"/>
        <v>22854</v>
      </c>
      <c r="F88" s="42" t="str">
        <f t="shared" si="3"/>
        <v>-</v>
      </c>
    </row>
    <row r="89" spans="1:19" s="10" customFormat="1" ht="39.75" customHeight="1" x14ac:dyDescent="0.4">
      <c r="A89" s="96" t="s">
        <v>135</v>
      </c>
      <c r="B89" s="97" t="s">
        <v>114</v>
      </c>
      <c r="C89" s="83">
        <f>CENTRALA!C64+'Razem OW'!C64</f>
        <v>90266</v>
      </c>
      <c r="D89" s="83">
        <f>CENTRALA!D64+'Razem OW'!D64</f>
        <v>110414</v>
      </c>
      <c r="E89" s="83">
        <f t="shared" si="2"/>
        <v>20148</v>
      </c>
      <c r="F89" s="84">
        <f t="shared" si="3"/>
        <v>1.2232000000000001</v>
      </c>
    </row>
    <row r="90" spans="1:19" s="10" customFormat="1" ht="64.5" customHeight="1" x14ac:dyDescent="0.4">
      <c r="A90" s="74" t="s">
        <v>136</v>
      </c>
      <c r="B90" s="75" t="s">
        <v>191</v>
      </c>
      <c r="C90" s="71">
        <f>C58-C59+C80-C81+C86-C89</f>
        <v>-2355661</v>
      </c>
      <c r="D90" s="71">
        <f>D58-D59+D80-D81+D86-D89</f>
        <v>-2355661</v>
      </c>
      <c r="E90" s="71" t="str">
        <f>IF(C90=D90,"-",D90-C90)</f>
        <v>-</v>
      </c>
      <c r="F90" s="73">
        <f t="shared" si="3"/>
        <v>1</v>
      </c>
    </row>
    <row r="91" spans="1:19" s="10" customFormat="1" ht="33" customHeight="1" x14ac:dyDescent="0.4">
      <c r="A91" s="81" t="s">
        <v>137</v>
      </c>
      <c r="B91" s="98" t="s">
        <v>193</v>
      </c>
      <c r="C91" s="99">
        <f>C6+C12+C20+C21+C22+C23+C80+C86-C18</f>
        <v>72602627</v>
      </c>
      <c r="D91" s="99">
        <f>D6+D12+D20+D21+D22+D23+D80+D86-D18</f>
        <v>72706888</v>
      </c>
      <c r="E91" s="99">
        <f t="shared" si="2"/>
        <v>104261</v>
      </c>
      <c r="F91" s="100">
        <f t="shared" si="3"/>
        <v>1.0014000000000001</v>
      </c>
    </row>
    <row r="92" spans="1:19" s="10" customFormat="1" ht="33" customHeight="1" x14ac:dyDescent="0.4">
      <c r="A92" s="96" t="s">
        <v>138</v>
      </c>
      <c r="B92" s="101" t="s">
        <v>194</v>
      </c>
      <c r="C92" s="99">
        <f>C9+C15+C25+C26+C54+C55+C56+C59+C81+C89</f>
        <v>74958288</v>
      </c>
      <c r="D92" s="99">
        <f>D9+D15+D25+D26+D54+D55+D56+D59+D81+D89</f>
        <v>75062549</v>
      </c>
      <c r="E92" s="99">
        <f t="shared" si="2"/>
        <v>104261</v>
      </c>
      <c r="F92" s="100">
        <f t="shared" si="3"/>
        <v>1.0014000000000001</v>
      </c>
    </row>
    <row r="93" spans="1:19" ht="26.25" x14ac:dyDescent="0.2">
      <c r="C93" s="11"/>
    </row>
    <row r="94" spans="1:19" ht="26.25" x14ac:dyDescent="0.2">
      <c r="C94" s="11"/>
    </row>
    <row r="95" spans="1:19" ht="26.25" x14ac:dyDescent="0.2">
      <c r="C95" s="11"/>
    </row>
    <row r="96" spans="1:19" ht="26.25" x14ac:dyDescent="0.2">
      <c r="C96" s="11"/>
    </row>
    <row r="97" spans="3:3" ht="26.25" x14ac:dyDescent="0.2">
      <c r="C97" s="11"/>
    </row>
    <row r="98" spans="3:3" ht="26.25" x14ac:dyDescent="0.2">
      <c r="C98" s="11"/>
    </row>
    <row r="99" spans="3:3" ht="26.25" x14ac:dyDescent="0.2">
      <c r="C99" s="11"/>
    </row>
    <row r="100" spans="3:3" ht="26.25" x14ac:dyDescent="0.2">
      <c r="C100" s="11"/>
    </row>
    <row r="101" spans="3:3" ht="26.25" x14ac:dyDescent="0.2">
      <c r="C101" s="11"/>
    </row>
    <row r="102" spans="3:3" ht="26.25" x14ac:dyDescent="0.2">
      <c r="C102" s="11"/>
    </row>
    <row r="103" spans="3:3" ht="26.25" x14ac:dyDescent="0.2">
      <c r="C103" s="11"/>
    </row>
  </sheetData>
  <mergeCells count="2">
    <mergeCell ref="A2:B2"/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fitToHeight="2" orientation="portrait" r:id="rId1"/>
  <headerFooter alignWithMargins="0">
    <oddFooter>&amp;R&amp;20&amp;P</oddFooter>
  </headerFooter>
  <rowBreaks count="1" manualBreakCount="1">
    <brk id="58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F64"/>
  <sheetViews>
    <sheetView showGridLines="0" zoomScale="55" zoomScaleNormal="55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66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10140402</v>
      </c>
      <c r="D6" s="102">
        <f>D7+D8+D9+D14+D15+D16+D17+D18+D19+D20+D21+D22+D23+D24+D28+D29+D31+D32+D33</f>
        <v>10140402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1368733</v>
      </c>
      <c r="D7" s="13">
        <f>C7</f>
        <v>1368733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812132</v>
      </c>
      <c r="D8" s="13">
        <f>C8</f>
        <v>812132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5085967</v>
      </c>
      <c r="D9" s="13">
        <f t="shared" ref="D9:D33" si="2">C9</f>
        <v>5085967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v>524308</v>
      </c>
      <c r="D10" s="13">
        <f t="shared" si="2"/>
        <v>524308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481828</v>
      </c>
      <c r="D11" s="13">
        <f t="shared" si="2"/>
        <v>481828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225139</v>
      </c>
      <c r="D12" s="13">
        <f t="shared" si="2"/>
        <v>225139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101276</v>
      </c>
      <c r="D13" s="13">
        <f t="shared" si="2"/>
        <v>101276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362224</v>
      </c>
      <c r="D14" s="13">
        <f t="shared" si="2"/>
        <v>362224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408280</v>
      </c>
      <c r="D15" s="13">
        <f t="shared" si="2"/>
        <v>408280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164398</v>
      </c>
      <c r="D16" s="13">
        <f t="shared" si="2"/>
        <v>164398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49960</v>
      </c>
      <c r="D17" s="13">
        <f t="shared" si="2"/>
        <v>49960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214488</v>
      </c>
      <c r="D18" s="13">
        <f t="shared" si="2"/>
        <v>214488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102890</v>
      </c>
      <c r="D19" s="13">
        <f t="shared" si="2"/>
        <v>102890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8116</v>
      </c>
      <c r="D20" s="13">
        <f t="shared" si="2"/>
        <v>8116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22067</v>
      </c>
      <c r="D21" s="13">
        <f t="shared" si="2"/>
        <v>22067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258941</v>
      </c>
      <c r="D22" s="13">
        <f t="shared" si="2"/>
        <v>258941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120000</v>
      </c>
      <c r="D23" s="13">
        <f t="shared" si="2"/>
        <v>120000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1138750</v>
      </c>
      <c r="D24" s="31">
        <f>SUM(D25:D27)</f>
        <v>1138750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1132050</v>
      </c>
      <c r="D25" s="13">
        <f t="shared" si="2"/>
        <v>1132050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2700</v>
      </c>
      <c r="D26" s="13">
        <f t="shared" si="2"/>
        <v>2700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4000</v>
      </c>
      <c r="D27" s="13">
        <f t="shared" si="2"/>
        <v>4000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23456</v>
      </c>
      <c r="D32" s="13">
        <f t="shared" si="2"/>
        <v>23456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v>231496</v>
      </c>
      <c r="D35" s="37">
        <f>C35</f>
        <v>231496</v>
      </c>
      <c r="E35" s="7" t="str">
        <f t="shared" si="0"/>
        <v>-</v>
      </c>
      <c r="F35" s="40">
        <f t="shared" si="1"/>
        <v>1</v>
      </c>
    </row>
    <row r="36" spans="1:6" s="2" customFormat="1" ht="40.5" x14ac:dyDescent="0.2">
      <c r="A36" s="52" t="s">
        <v>188</v>
      </c>
      <c r="B36" s="17" t="s">
        <v>189</v>
      </c>
      <c r="C36" s="32">
        <v>18869</v>
      </c>
      <c r="D36" s="37">
        <f>C36</f>
        <v>18869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1721854</v>
      </c>
      <c r="D37" s="32">
        <f>D11+D13+D24+D30</f>
        <v>1721854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68418</v>
      </c>
      <c r="D38" s="87">
        <f>D39+D40+D41+D49+D51+D57+D58+D56</f>
        <v>68418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v>2000</v>
      </c>
      <c r="D39" s="33">
        <f>C39</f>
        <v>2000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v>12000</v>
      </c>
      <c r="D40" s="33">
        <f t="shared" ref="D40:D58" si="3">C40</f>
        <v>12000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230</v>
      </c>
      <c r="D41" s="33">
        <f>D42+D44+D45+D46+D47+D48</f>
        <v>230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v>20</v>
      </c>
      <c r="D42" s="33">
        <f t="shared" si="3"/>
        <v>20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v>20</v>
      </c>
      <c r="D43" s="33">
        <f t="shared" si="3"/>
        <v>20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v>12</v>
      </c>
      <c r="D44" s="33">
        <f t="shared" si="3"/>
        <v>12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v>195</v>
      </c>
      <c r="D47" s="33">
        <f t="shared" si="3"/>
        <v>195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v>3</v>
      </c>
      <c r="D48" s="33">
        <f t="shared" si="3"/>
        <v>3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v>43137</v>
      </c>
      <c r="D49" s="33">
        <f t="shared" si="3"/>
        <v>43137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v>71</v>
      </c>
      <c r="D50" s="33">
        <f t="shared" si="3"/>
        <v>71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9594</v>
      </c>
      <c r="D51" s="29">
        <f>D52+D53+D54+D55</f>
        <v>9594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v>7415</v>
      </c>
      <c r="D52" s="33">
        <f t="shared" si="3"/>
        <v>7415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v>1056</v>
      </c>
      <c r="D53" s="33">
        <f t="shared" si="3"/>
        <v>1056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v>1123</v>
      </c>
      <c r="D55" s="33">
        <f t="shared" si="3"/>
        <v>1123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v>1067</v>
      </c>
      <c r="D57" s="33">
        <f t="shared" si="3"/>
        <v>1067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v>390</v>
      </c>
      <c r="D58" s="33">
        <f t="shared" si="3"/>
        <v>390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26090</v>
      </c>
      <c r="D59" s="107">
        <f>D60+D61+D62+D63</f>
        <v>78165</v>
      </c>
      <c r="E59" s="83">
        <f t="shared" si="0"/>
        <v>52075</v>
      </c>
      <c r="F59" s="108">
        <f t="shared" si="1"/>
        <v>2.996</v>
      </c>
    </row>
    <row r="60" spans="1:6" ht="42" customHeight="1" x14ac:dyDescent="0.2">
      <c r="A60" s="51" t="s">
        <v>100</v>
      </c>
      <c r="B60" s="18" t="s">
        <v>113</v>
      </c>
      <c r="C60" s="31"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v>21967</v>
      </c>
      <c r="D61" s="33">
        <f>C61+46537</f>
        <v>68504</v>
      </c>
      <c r="E61" s="29">
        <f t="shared" si="0"/>
        <v>46537</v>
      </c>
      <c r="F61" s="39">
        <f t="shared" si="1"/>
        <v>3.1185</v>
      </c>
    </row>
    <row r="62" spans="1:6" ht="31.5" customHeight="1" x14ac:dyDescent="0.2">
      <c r="A62" s="51" t="s">
        <v>30</v>
      </c>
      <c r="B62" s="18" t="s">
        <v>102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v>4123</v>
      </c>
      <c r="D63" s="33">
        <f>C63+5538</f>
        <v>9661</v>
      </c>
      <c r="E63" s="29">
        <f t="shared" si="0"/>
        <v>5538</v>
      </c>
      <c r="F63" s="39">
        <f t="shared" si="1"/>
        <v>2.3431999999999999</v>
      </c>
    </row>
    <row r="64" spans="1:6" ht="32.25" customHeight="1" x14ac:dyDescent="0.2">
      <c r="A64" s="94" t="s">
        <v>135</v>
      </c>
      <c r="B64" s="95" t="s">
        <v>114</v>
      </c>
      <c r="C64" s="107">
        <v>12260</v>
      </c>
      <c r="D64" s="107">
        <f>C64+12212</f>
        <v>24472</v>
      </c>
      <c r="E64" s="83">
        <f t="shared" si="0"/>
        <v>12212</v>
      </c>
      <c r="F64" s="108">
        <f t="shared" si="1"/>
        <v>1.9961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43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67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1719027</v>
      </c>
      <c r="D6" s="102">
        <f>D7+D8+D9+D14+D15+D16+D17+D18+D19+D20+D21+D22+D23+D24+D28+D29+D31+D32+D33</f>
        <v>1719027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223309</v>
      </c>
      <c r="D7" s="13">
        <f>C7</f>
        <v>223309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125935</v>
      </c>
      <c r="D8" s="13">
        <f>C8</f>
        <v>125935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838621</v>
      </c>
      <c r="D9" s="13">
        <f t="shared" ref="D9:D33" si="2">C9</f>
        <v>838621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v>78970</v>
      </c>
      <c r="D10" s="13">
        <f t="shared" si="2"/>
        <v>78970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74135</v>
      </c>
      <c r="D11" s="13">
        <f t="shared" si="2"/>
        <v>74135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34338</v>
      </c>
      <c r="D12" s="13">
        <f t="shared" si="2"/>
        <v>34338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16161</v>
      </c>
      <c r="D13" s="13">
        <f t="shared" si="2"/>
        <v>16161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61205</v>
      </c>
      <c r="D14" s="13">
        <f t="shared" si="2"/>
        <v>61205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55508</v>
      </c>
      <c r="D15" s="13">
        <f t="shared" si="2"/>
        <v>55508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53256</v>
      </c>
      <c r="D16" s="13">
        <f t="shared" si="2"/>
        <v>53256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13630</v>
      </c>
      <c r="D17" s="13">
        <f t="shared" si="2"/>
        <v>13630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46059</v>
      </c>
      <c r="D18" s="13">
        <f t="shared" si="2"/>
        <v>46059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12700</v>
      </c>
      <c r="D19" s="13">
        <f t="shared" si="2"/>
        <v>12700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1325</v>
      </c>
      <c r="D20" s="13">
        <f t="shared" si="2"/>
        <v>1325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4900</v>
      </c>
      <c r="D21" s="13">
        <f t="shared" si="2"/>
        <v>4900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43197</v>
      </c>
      <c r="D22" s="13">
        <f t="shared" si="2"/>
        <v>43197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24300</v>
      </c>
      <c r="D23" s="13">
        <f t="shared" si="2"/>
        <v>24300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200581</v>
      </c>
      <c r="D24" s="31">
        <f>SUM(D25:D27)</f>
        <v>200581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199841</v>
      </c>
      <c r="D25" s="13">
        <f t="shared" si="2"/>
        <v>199841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600</v>
      </c>
      <c r="D26" s="13">
        <f t="shared" si="2"/>
        <v>600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140</v>
      </c>
      <c r="D27" s="13">
        <f t="shared" si="2"/>
        <v>140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14501</v>
      </c>
      <c r="D32" s="13">
        <f t="shared" si="2"/>
        <v>14501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v>52678</v>
      </c>
      <c r="D35" s="37">
        <f>C35</f>
        <v>52678</v>
      </c>
      <c r="E35" s="7" t="str">
        <f t="shared" si="0"/>
        <v>-</v>
      </c>
      <c r="F35" s="40">
        <f t="shared" si="1"/>
        <v>1</v>
      </c>
    </row>
    <row r="36" spans="1:6" s="2" customFormat="1" ht="40.5" x14ac:dyDescent="0.2">
      <c r="A36" s="52" t="s">
        <v>188</v>
      </c>
      <c r="B36" s="17" t="s">
        <v>189</v>
      </c>
      <c r="C36" s="32">
        <v>3351</v>
      </c>
      <c r="D36" s="37">
        <f>C36</f>
        <v>3351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290877</v>
      </c>
      <c r="D37" s="32">
        <f>D11+D13+D24+D30</f>
        <v>290877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16665</v>
      </c>
      <c r="D38" s="87">
        <f>D39+D40+D41+D49+D51+D57+D58+D56</f>
        <v>16665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v>815</v>
      </c>
      <c r="D39" s="33">
        <f>C39</f>
        <v>815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v>2127</v>
      </c>
      <c r="D40" s="33">
        <f t="shared" ref="D40:D58" si="3">C40</f>
        <v>2127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164</v>
      </c>
      <c r="D41" s="33">
        <f>D42+D44+D45+D46+D47+D48</f>
        <v>164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v>0</v>
      </c>
      <c r="D42" s="33">
        <f t="shared" si="3"/>
        <v>0</v>
      </c>
      <c r="E42" s="38" t="str">
        <f t="shared" si="0"/>
        <v>-</v>
      </c>
      <c r="F42" s="39" t="str">
        <f t="shared" si="1"/>
        <v>-</v>
      </c>
    </row>
    <row r="43" spans="1:6" ht="28.5" customHeight="1" x14ac:dyDescent="0.2">
      <c r="A43" s="53" t="s">
        <v>39</v>
      </c>
      <c r="B43" s="47" t="s">
        <v>32</v>
      </c>
      <c r="C43" s="31">
        <v>0</v>
      </c>
      <c r="D43" s="33">
        <f t="shared" si="3"/>
        <v>0</v>
      </c>
      <c r="E43" s="38" t="str">
        <f t="shared" si="0"/>
        <v>-</v>
      </c>
      <c r="F43" s="39" t="str">
        <f t="shared" si="1"/>
        <v>-</v>
      </c>
    </row>
    <row r="44" spans="1:6" ht="28.5" customHeight="1" x14ac:dyDescent="0.2">
      <c r="A44" s="53" t="s">
        <v>40</v>
      </c>
      <c r="B44" s="46" t="s">
        <v>33</v>
      </c>
      <c r="C44" s="31">
        <v>8</v>
      </c>
      <c r="D44" s="33">
        <f t="shared" si="3"/>
        <v>8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v>150</v>
      </c>
      <c r="D47" s="33">
        <f t="shared" si="3"/>
        <v>150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v>6</v>
      </c>
      <c r="D48" s="33">
        <f t="shared" si="3"/>
        <v>6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v>9203</v>
      </c>
      <c r="D49" s="33">
        <f t="shared" si="3"/>
        <v>9203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v>31</v>
      </c>
      <c r="D50" s="33">
        <f t="shared" si="3"/>
        <v>31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2053</v>
      </c>
      <c r="D51" s="29">
        <f>D52+D53+D54+D55</f>
        <v>2053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v>1582</v>
      </c>
      <c r="D52" s="33">
        <f t="shared" si="3"/>
        <v>1582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v>225</v>
      </c>
      <c r="D53" s="33">
        <f t="shared" si="3"/>
        <v>225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v>246</v>
      </c>
      <c r="D55" s="33">
        <f t="shared" si="3"/>
        <v>246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v>2120</v>
      </c>
      <c r="D57" s="33">
        <f t="shared" si="3"/>
        <v>2120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v>183</v>
      </c>
      <c r="D58" s="33">
        <f t="shared" si="3"/>
        <v>183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7678</v>
      </c>
      <c r="D59" s="107">
        <f>D60+D61+D62+D63</f>
        <v>6540</v>
      </c>
      <c r="E59" s="83">
        <f t="shared" si="0"/>
        <v>-1138</v>
      </c>
      <c r="F59" s="108">
        <f t="shared" si="1"/>
        <v>0.8518</v>
      </c>
    </row>
    <row r="60" spans="1:6" ht="42" customHeight="1" x14ac:dyDescent="0.2">
      <c r="A60" s="51" t="s">
        <v>100</v>
      </c>
      <c r="B60" s="18" t="s">
        <v>113</v>
      </c>
      <c r="C60" s="31"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v>5700</v>
      </c>
      <c r="D61" s="33">
        <f>C61-110</f>
        <v>5590</v>
      </c>
      <c r="E61" s="29">
        <f t="shared" si="0"/>
        <v>-110</v>
      </c>
      <c r="F61" s="39">
        <f t="shared" si="1"/>
        <v>0.98070000000000002</v>
      </c>
    </row>
    <row r="62" spans="1:6" ht="31.5" customHeight="1" x14ac:dyDescent="0.2">
      <c r="A62" s="51" t="s">
        <v>30</v>
      </c>
      <c r="B62" s="18" t="s">
        <v>102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v>1978</v>
      </c>
      <c r="D63" s="33">
        <f>C63-1028</f>
        <v>950</v>
      </c>
      <c r="E63" s="29">
        <f t="shared" si="0"/>
        <v>-1028</v>
      </c>
      <c r="F63" s="39">
        <f t="shared" si="1"/>
        <v>0.4803</v>
      </c>
    </row>
    <row r="64" spans="1:6" ht="32.25" customHeight="1" x14ac:dyDescent="0.2">
      <c r="A64" s="94" t="s">
        <v>135</v>
      </c>
      <c r="B64" s="95" t="s">
        <v>114</v>
      </c>
      <c r="C64" s="107">
        <v>1238</v>
      </c>
      <c r="D64" s="107">
        <f>C64+908</f>
        <v>2146</v>
      </c>
      <c r="E64" s="83">
        <f t="shared" si="0"/>
        <v>908</v>
      </c>
      <c r="F64" s="108">
        <f t="shared" si="1"/>
        <v>1.7334000000000001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43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68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3707013</v>
      </c>
      <c r="D6" s="102">
        <f>D7+D8+D9+D14+D15+D16+D17+D18+D19+D20+D21+D22+D23+D24+D28+D29+D31+D32+D33</f>
        <v>3707013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507400</v>
      </c>
      <c r="D7" s="13">
        <f>C7</f>
        <v>507400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295357</v>
      </c>
      <c r="D8" s="13">
        <f>C8</f>
        <v>295357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1783671</v>
      </c>
      <c r="D9" s="13">
        <f t="shared" ref="D9:D33" si="2">C9</f>
        <v>1783671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v>175346</v>
      </c>
      <c r="D10" s="13">
        <f t="shared" si="2"/>
        <v>175346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162963</v>
      </c>
      <c r="D11" s="13">
        <f t="shared" si="2"/>
        <v>162963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68530</v>
      </c>
      <c r="D12" s="13">
        <f t="shared" si="2"/>
        <v>68530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31666</v>
      </c>
      <c r="D13" s="13">
        <f t="shared" si="2"/>
        <v>31666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123373</v>
      </c>
      <c r="D14" s="13">
        <f t="shared" si="2"/>
        <v>123373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145247</v>
      </c>
      <c r="D15" s="13">
        <f t="shared" si="2"/>
        <v>145247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101090</v>
      </c>
      <c r="D16" s="13">
        <f t="shared" si="2"/>
        <v>101090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29944</v>
      </c>
      <c r="D17" s="13">
        <f t="shared" si="2"/>
        <v>29944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106368</v>
      </c>
      <c r="D18" s="13">
        <f t="shared" si="2"/>
        <v>106368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33794</v>
      </c>
      <c r="D19" s="13">
        <f t="shared" si="2"/>
        <v>33794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3216</v>
      </c>
      <c r="D20" s="13">
        <f t="shared" si="2"/>
        <v>3216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7985</v>
      </c>
      <c r="D21" s="13">
        <f t="shared" si="2"/>
        <v>7985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99079</v>
      </c>
      <c r="D22" s="13">
        <f t="shared" si="2"/>
        <v>99079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49500</v>
      </c>
      <c r="D23" s="13">
        <f t="shared" si="2"/>
        <v>49500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382413</v>
      </c>
      <c r="D24" s="31">
        <f>SUM(D25:D27)</f>
        <v>382413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379713</v>
      </c>
      <c r="D25" s="13">
        <f t="shared" si="2"/>
        <v>379713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2000</v>
      </c>
      <c r="D26" s="13">
        <f t="shared" si="2"/>
        <v>2000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700</v>
      </c>
      <c r="D27" s="13">
        <f t="shared" si="2"/>
        <v>700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38576</v>
      </c>
      <c r="D32" s="13">
        <f t="shared" si="2"/>
        <v>38576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v>108034</v>
      </c>
      <c r="D35" s="37">
        <f>C35</f>
        <v>108034</v>
      </c>
      <c r="E35" s="7" t="str">
        <f t="shared" si="0"/>
        <v>-</v>
      </c>
      <c r="F35" s="40">
        <f t="shared" si="1"/>
        <v>1</v>
      </c>
    </row>
    <row r="36" spans="1:6" s="2" customFormat="1" ht="40.5" x14ac:dyDescent="0.2">
      <c r="A36" s="52" t="s">
        <v>188</v>
      </c>
      <c r="B36" s="17" t="s">
        <v>189</v>
      </c>
      <c r="C36" s="32">
        <v>6901</v>
      </c>
      <c r="D36" s="37">
        <f>C36</f>
        <v>6901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577042</v>
      </c>
      <c r="D37" s="32">
        <f>D11+D13+D24+D30</f>
        <v>577042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26074</v>
      </c>
      <c r="D38" s="87">
        <f>D39+D40+D41+D49+D51+D57+D58+D56</f>
        <v>26074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v>1333</v>
      </c>
      <c r="D39" s="33">
        <f>C39</f>
        <v>1333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v>2780</v>
      </c>
      <c r="D40" s="33">
        <f t="shared" ref="D40:D58" si="3">C40</f>
        <v>2780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118</v>
      </c>
      <c r="D41" s="33">
        <f>D42+D44+D45+D46+D47+D48</f>
        <v>118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v>27</v>
      </c>
      <c r="D42" s="33">
        <f t="shared" si="3"/>
        <v>27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v>27</v>
      </c>
      <c r="D43" s="33">
        <f t="shared" si="3"/>
        <v>27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v>13</v>
      </c>
      <c r="D44" s="33">
        <f t="shared" si="3"/>
        <v>13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v>42</v>
      </c>
      <c r="D47" s="33">
        <f t="shared" si="3"/>
        <v>42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v>36</v>
      </c>
      <c r="D48" s="33">
        <f t="shared" si="3"/>
        <v>36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v>14454</v>
      </c>
      <c r="D49" s="33">
        <f t="shared" si="3"/>
        <v>14454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v>10</v>
      </c>
      <c r="D50" s="33">
        <f t="shared" si="3"/>
        <v>10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3225</v>
      </c>
      <c r="D51" s="29">
        <f>D52+D53+D54+D55</f>
        <v>3225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v>2484</v>
      </c>
      <c r="D52" s="33">
        <f t="shared" si="3"/>
        <v>2484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v>354</v>
      </c>
      <c r="D53" s="33">
        <f t="shared" si="3"/>
        <v>354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v>387</v>
      </c>
      <c r="D55" s="33">
        <f t="shared" si="3"/>
        <v>387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v>3900</v>
      </c>
      <c r="D57" s="33">
        <f t="shared" si="3"/>
        <v>3900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v>264</v>
      </c>
      <c r="D58" s="33">
        <f t="shared" si="3"/>
        <v>264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7194</v>
      </c>
      <c r="D59" s="107">
        <f>D60+D61+D62+D63</f>
        <v>2194</v>
      </c>
      <c r="E59" s="83">
        <f t="shared" si="0"/>
        <v>-5000</v>
      </c>
      <c r="F59" s="108">
        <f t="shared" si="1"/>
        <v>0.30499999999999999</v>
      </c>
    </row>
    <row r="60" spans="1:6" ht="42" customHeight="1" x14ac:dyDescent="0.2">
      <c r="A60" s="51" t="s">
        <v>100</v>
      </c>
      <c r="B60" s="18" t="s">
        <v>113</v>
      </c>
      <c r="C60" s="31"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v>6394</v>
      </c>
      <c r="D61" s="33">
        <f>C61-5000</f>
        <v>1394</v>
      </c>
      <c r="E61" s="29">
        <f t="shared" si="0"/>
        <v>-5000</v>
      </c>
      <c r="F61" s="39">
        <f t="shared" si="1"/>
        <v>0.218</v>
      </c>
    </row>
    <row r="62" spans="1:6" ht="31.5" customHeight="1" x14ac:dyDescent="0.2">
      <c r="A62" s="51" t="s">
        <v>30</v>
      </c>
      <c r="B62" s="18" t="s">
        <v>102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v>800</v>
      </c>
      <c r="D63" s="33">
        <f>C63</f>
        <v>800</v>
      </c>
      <c r="E63" s="29" t="str">
        <f t="shared" si="0"/>
        <v>-</v>
      </c>
      <c r="F63" s="39">
        <f t="shared" si="1"/>
        <v>1</v>
      </c>
    </row>
    <row r="64" spans="1:6" ht="32.25" customHeight="1" x14ac:dyDescent="0.2">
      <c r="A64" s="94" t="s">
        <v>135</v>
      </c>
      <c r="B64" s="95" t="s">
        <v>114</v>
      </c>
      <c r="C64" s="107">
        <v>810</v>
      </c>
      <c r="D64" s="107">
        <f>C64</f>
        <v>810</v>
      </c>
      <c r="E64" s="83" t="str">
        <f t="shared" si="0"/>
        <v>-</v>
      </c>
      <c r="F64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43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69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2122770</v>
      </c>
      <c r="D6" s="102">
        <f>D7+D8+D9+D14+D15+D16+D17+D18+D19+D20+D21+D22+D23+D24+D28+D29+D31+D32+D33</f>
        <v>2122770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286500</v>
      </c>
      <c r="D7" s="13">
        <f>C7</f>
        <v>286500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196416</v>
      </c>
      <c r="D8" s="13">
        <f>C8</f>
        <v>196416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1050864</v>
      </c>
      <c r="D9" s="13">
        <f t="shared" ref="D9:D33" si="2">C9</f>
        <v>1050864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v>82842</v>
      </c>
      <c r="D10" s="13">
        <f t="shared" si="2"/>
        <v>82842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73696</v>
      </c>
      <c r="D11" s="13">
        <f t="shared" si="2"/>
        <v>73696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46253</v>
      </c>
      <c r="D12" s="13">
        <f t="shared" si="2"/>
        <v>46253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23019</v>
      </c>
      <c r="D13" s="13">
        <f t="shared" si="2"/>
        <v>23019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83246</v>
      </c>
      <c r="D14" s="13">
        <f t="shared" si="2"/>
        <v>83246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61985</v>
      </c>
      <c r="D15" s="13">
        <f t="shared" si="2"/>
        <v>61985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32128</v>
      </c>
      <c r="D16" s="13">
        <f t="shared" si="2"/>
        <v>32128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13949</v>
      </c>
      <c r="D17" s="13">
        <f t="shared" si="2"/>
        <v>13949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64320</v>
      </c>
      <c r="D18" s="13">
        <f t="shared" si="2"/>
        <v>64320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20000</v>
      </c>
      <c r="D19" s="13">
        <f t="shared" si="2"/>
        <v>20000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1475</v>
      </c>
      <c r="D20" s="13">
        <f t="shared" si="2"/>
        <v>1475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5088</v>
      </c>
      <c r="D21" s="13">
        <f t="shared" si="2"/>
        <v>5088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46813</v>
      </c>
      <c r="D22" s="13">
        <f t="shared" si="2"/>
        <v>46813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28200</v>
      </c>
      <c r="D23" s="13">
        <f t="shared" si="2"/>
        <v>28200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225380</v>
      </c>
      <c r="D24" s="31">
        <f>SUM(D25:D27)</f>
        <v>225380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223410</v>
      </c>
      <c r="D25" s="13">
        <f t="shared" si="2"/>
        <v>223410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1150</v>
      </c>
      <c r="D26" s="13">
        <f t="shared" si="2"/>
        <v>1150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820</v>
      </c>
      <c r="D27" s="13">
        <f t="shared" si="2"/>
        <v>820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6406</v>
      </c>
      <c r="D32" s="13">
        <f t="shared" si="2"/>
        <v>6406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v>70234</v>
      </c>
      <c r="D35" s="37">
        <f>C35</f>
        <v>70234</v>
      </c>
      <c r="E35" s="7" t="str">
        <f t="shared" si="0"/>
        <v>-</v>
      </c>
      <c r="F35" s="40">
        <f t="shared" si="1"/>
        <v>1</v>
      </c>
    </row>
    <row r="36" spans="1:6" s="2" customFormat="1" ht="40.5" x14ac:dyDescent="0.2">
      <c r="A36" s="52" t="s">
        <v>188</v>
      </c>
      <c r="B36" s="17" t="s">
        <v>189</v>
      </c>
      <c r="C36" s="32">
        <v>4356</v>
      </c>
      <c r="D36" s="37">
        <f>C36</f>
        <v>4356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322095</v>
      </c>
      <c r="D37" s="32">
        <f>D11+D13+D24+D30</f>
        <v>322095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16920</v>
      </c>
      <c r="D38" s="87">
        <f>D39+D40+D41+D49+D51+D57+D58+D56</f>
        <v>16920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v>670</v>
      </c>
      <c r="D39" s="33">
        <f>C39</f>
        <v>670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v>938</v>
      </c>
      <c r="D40" s="33">
        <f t="shared" ref="D40:D58" si="3">C40</f>
        <v>938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243</v>
      </c>
      <c r="D41" s="33">
        <f>D42+D44+D45+D46+D47+D48</f>
        <v>243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v>19</v>
      </c>
      <c r="D42" s="33">
        <f t="shared" si="3"/>
        <v>19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v>19</v>
      </c>
      <c r="D43" s="33">
        <f t="shared" si="3"/>
        <v>19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v>53</v>
      </c>
      <c r="D44" s="33">
        <f t="shared" si="3"/>
        <v>53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v>165</v>
      </c>
      <c r="D47" s="33">
        <f t="shared" si="3"/>
        <v>165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v>6</v>
      </c>
      <c r="D48" s="33">
        <f t="shared" si="3"/>
        <v>6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v>10237</v>
      </c>
      <c r="D49" s="33">
        <f t="shared" si="3"/>
        <v>10237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v>0</v>
      </c>
      <c r="D50" s="33">
        <f t="shared" si="3"/>
        <v>0</v>
      </c>
      <c r="E50" s="38" t="str">
        <f t="shared" si="0"/>
        <v>-</v>
      </c>
      <c r="F50" s="39" t="str">
        <f t="shared" si="1"/>
        <v>-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2289</v>
      </c>
      <c r="D51" s="29">
        <f>D52+D53+D54+D55</f>
        <v>2289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v>1760</v>
      </c>
      <c r="D52" s="33">
        <f t="shared" si="3"/>
        <v>1760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v>251</v>
      </c>
      <c r="D53" s="33">
        <f t="shared" si="3"/>
        <v>251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v>278</v>
      </c>
      <c r="D55" s="33">
        <f t="shared" si="3"/>
        <v>278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v>2331</v>
      </c>
      <c r="D57" s="33">
        <f t="shared" si="3"/>
        <v>2331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v>212</v>
      </c>
      <c r="D58" s="33">
        <f t="shared" si="3"/>
        <v>212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2016</v>
      </c>
      <c r="D59" s="107">
        <f>D60+D61+D62+D63</f>
        <v>2440</v>
      </c>
      <c r="E59" s="83">
        <f t="shared" si="0"/>
        <v>424</v>
      </c>
      <c r="F59" s="108">
        <f t="shared" si="1"/>
        <v>1.2102999999999999</v>
      </c>
    </row>
    <row r="60" spans="1:6" ht="42" customHeight="1" x14ac:dyDescent="0.2">
      <c r="A60" s="51" t="s">
        <v>100</v>
      </c>
      <c r="B60" s="18" t="s">
        <v>113</v>
      </c>
      <c r="C60" s="31"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v>1110</v>
      </c>
      <c r="D61" s="33">
        <f>C61+90</f>
        <v>1200</v>
      </c>
      <c r="E61" s="29">
        <f t="shared" si="0"/>
        <v>90</v>
      </c>
      <c r="F61" s="39">
        <f t="shared" si="1"/>
        <v>1.0810999999999999</v>
      </c>
    </row>
    <row r="62" spans="1:6" ht="31.5" customHeight="1" x14ac:dyDescent="0.2">
      <c r="A62" s="51" t="s">
        <v>30</v>
      </c>
      <c r="B62" s="18" t="s">
        <v>102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v>906</v>
      </c>
      <c r="D63" s="33">
        <f>C63+334</f>
        <v>1240</v>
      </c>
      <c r="E63" s="29">
        <f t="shared" si="0"/>
        <v>334</v>
      </c>
      <c r="F63" s="39">
        <f t="shared" si="1"/>
        <v>1.3687</v>
      </c>
    </row>
    <row r="64" spans="1:6" ht="32.25" customHeight="1" x14ac:dyDescent="0.2">
      <c r="A64" s="94" t="s">
        <v>135</v>
      </c>
      <c r="B64" s="95" t="s">
        <v>114</v>
      </c>
      <c r="C64" s="107">
        <v>372</v>
      </c>
      <c r="D64" s="107">
        <f>C64-102</f>
        <v>270</v>
      </c>
      <c r="E64" s="83">
        <f t="shared" si="0"/>
        <v>-102</v>
      </c>
      <c r="F64" s="108">
        <f t="shared" si="1"/>
        <v>0.7258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40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70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4059421</v>
      </c>
      <c r="D6" s="102">
        <f>D7+D8+D9+D14+D15+D16+D17+D18+D19+D20+D21+D22+D23+D24+D28+D29+D31+D32+D33</f>
        <v>4059421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572584</v>
      </c>
      <c r="D7" s="13">
        <f>C7</f>
        <v>572584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344626</v>
      </c>
      <c r="D8" s="13">
        <f>C8</f>
        <v>344626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1931911</v>
      </c>
      <c r="D9" s="13">
        <f t="shared" ref="D9:D33" si="2">C9</f>
        <v>1931911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v>182744</v>
      </c>
      <c r="D10" s="13">
        <f t="shared" si="2"/>
        <v>182744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169000</v>
      </c>
      <c r="D11" s="13">
        <f t="shared" si="2"/>
        <v>169000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79274</v>
      </c>
      <c r="D12" s="13">
        <f t="shared" si="2"/>
        <v>79274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45000</v>
      </c>
      <c r="D13" s="13">
        <f t="shared" si="2"/>
        <v>45000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150419</v>
      </c>
      <c r="D14" s="13">
        <f t="shared" si="2"/>
        <v>150419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114336</v>
      </c>
      <c r="D15" s="13">
        <f t="shared" si="2"/>
        <v>114336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49212</v>
      </c>
      <c r="D16" s="13">
        <f t="shared" si="2"/>
        <v>49212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25316</v>
      </c>
      <c r="D17" s="13">
        <f t="shared" si="2"/>
        <v>25316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105045</v>
      </c>
      <c r="D18" s="13">
        <f t="shared" si="2"/>
        <v>105045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27000</v>
      </c>
      <c r="D19" s="13">
        <f t="shared" si="2"/>
        <v>27000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1485</v>
      </c>
      <c r="D20" s="13">
        <f t="shared" si="2"/>
        <v>1485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10180</v>
      </c>
      <c r="D21" s="13">
        <f t="shared" si="2"/>
        <v>10180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127438</v>
      </c>
      <c r="D22" s="13">
        <f t="shared" si="2"/>
        <v>127438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53100</v>
      </c>
      <c r="D23" s="13">
        <f t="shared" si="2"/>
        <v>53100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524000</v>
      </c>
      <c r="D24" s="31">
        <f>SUM(D25:D27)</f>
        <v>524000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522800</v>
      </c>
      <c r="D25" s="13">
        <f t="shared" si="2"/>
        <v>522800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800</v>
      </c>
      <c r="D26" s="13">
        <f t="shared" si="2"/>
        <v>800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400</v>
      </c>
      <c r="D27" s="13">
        <f t="shared" si="2"/>
        <v>400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22769</v>
      </c>
      <c r="D32" s="13">
        <f t="shared" si="2"/>
        <v>22769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v>105521</v>
      </c>
      <c r="D35" s="37">
        <f>C35</f>
        <v>105521</v>
      </c>
      <c r="E35" s="7" t="str">
        <f t="shared" si="0"/>
        <v>-</v>
      </c>
      <c r="F35" s="40">
        <f t="shared" si="1"/>
        <v>1</v>
      </c>
    </row>
    <row r="36" spans="1:6" s="2" customFormat="1" ht="40.5" x14ac:dyDescent="0.2">
      <c r="A36" s="52" t="s">
        <v>188</v>
      </c>
      <c r="B36" s="17" t="s">
        <v>189</v>
      </c>
      <c r="C36" s="32">
        <v>6713</v>
      </c>
      <c r="D36" s="37">
        <f>C36</f>
        <v>6713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738000</v>
      </c>
      <c r="D37" s="32">
        <f>D11+D13+D24+D30</f>
        <v>738000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34039</v>
      </c>
      <c r="D38" s="87">
        <f>D39+D40+D41+D49+D51+D57+D58+D56</f>
        <v>34039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v>1689</v>
      </c>
      <c r="D39" s="33">
        <f>C39</f>
        <v>1689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v>3526</v>
      </c>
      <c r="D40" s="33">
        <f t="shared" ref="D40:D58" si="3">C40</f>
        <v>3526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138</v>
      </c>
      <c r="D41" s="33">
        <f>D42+D44+D45+D46+D47+D48</f>
        <v>138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v>44</v>
      </c>
      <c r="D42" s="33">
        <f t="shared" si="3"/>
        <v>44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v>44</v>
      </c>
      <c r="D43" s="33">
        <f t="shared" si="3"/>
        <v>44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v>30</v>
      </c>
      <c r="D44" s="33">
        <f t="shared" si="3"/>
        <v>30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v>44</v>
      </c>
      <c r="D47" s="33">
        <f t="shared" si="3"/>
        <v>44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v>20</v>
      </c>
      <c r="D48" s="33">
        <f t="shared" si="3"/>
        <v>20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v>19618</v>
      </c>
      <c r="D49" s="33">
        <f t="shared" si="3"/>
        <v>19618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v>70</v>
      </c>
      <c r="D50" s="33">
        <f t="shared" si="3"/>
        <v>70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4381</v>
      </c>
      <c r="D51" s="29">
        <f>D52+D53+D54+D55</f>
        <v>4381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v>3372</v>
      </c>
      <c r="D52" s="33">
        <f t="shared" si="3"/>
        <v>3372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v>481</v>
      </c>
      <c r="D53" s="33">
        <f t="shared" si="3"/>
        <v>481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v>528</v>
      </c>
      <c r="D55" s="33">
        <f t="shared" si="3"/>
        <v>528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v>4425</v>
      </c>
      <c r="D57" s="33">
        <f t="shared" si="3"/>
        <v>4425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v>262</v>
      </c>
      <c r="D58" s="33">
        <f t="shared" si="3"/>
        <v>262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8813</v>
      </c>
      <c r="D59" s="107">
        <f>D60+D61+D62+D63</f>
        <v>8863</v>
      </c>
      <c r="E59" s="83">
        <f t="shared" si="0"/>
        <v>50</v>
      </c>
      <c r="F59" s="108">
        <f t="shared" si="1"/>
        <v>1.0057</v>
      </c>
    </row>
    <row r="60" spans="1:6" ht="42" customHeight="1" x14ac:dyDescent="0.2">
      <c r="A60" s="51" t="s">
        <v>100</v>
      </c>
      <c r="B60" s="18" t="s">
        <v>113</v>
      </c>
      <c r="C60" s="31">
        <v>27</v>
      </c>
      <c r="D60" s="33">
        <f>C60+10</f>
        <v>37</v>
      </c>
      <c r="E60" s="29">
        <f t="shared" si="0"/>
        <v>10</v>
      </c>
      <c r="F60" s="39">
        <f t="shared" si="1"/>
        <v>1.3704000000000001</v>
      </c>
    </row>
    <row r="61" spans="1:6" ht="31.5" customHeight="1" x14ac:dyDescent="0.2">
      <c r="A61" s="51" t="s">
        <v>29</v>
      </c>
      <c r="B61" s="18" t="s">
        <v>54</v>
      </c>
      <c r="C61" s="31">
        <v>6273</v>
      </c>
      <c r="D61" s="33">
        <f>C61+1409</f>
        <v>7682</v>
      </c>
      <c r="E61" s="29">
        <f t="shared" si="0"/>
        <v>1409</v>
      </c>
      <c r="F61" s="39">
        <f t="shared" si="1"/>
        <v>1.2245999999999999</v>
      </c>
    </row>
    <row r="62" spans="1:6" ht="31.5" customHeight="1" x14ac:dyDescent="0.2">
      <c r="A62" s="51" t="s">
        <v>30</v>
      </c>
      <c r="B62" s="18" t="s">
        <v>102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v>2513</v>
      </c>
      <c r="D63" s="33">
        <f>C63-1369</f>
        <v>1144</v>
      </c>
      <c r="E63" s="29">
        <f t="shared" si="0"/>
        <v>-1369</v>
      </c>
      <c r="F63" s="39">
        <f t="shared" si="1"/>
        <v>0.45519999999999999</v>
      </c>
    </row>
    <row r="64" spans="1:6" ht="32.25" customHeight="1" x14ac:dyDescent="0.2">
      <c r="A64" s="94" t="s">
        <v>135</v>
      </c>
      <c r="B64" s="95" t="s">
        <v>114</v>
      </c>
      <c r="C64" s="107">
        <v>3970</v>
      </c>
      <c r="D64" s="107">
        <f>C64+605</f>
        <v>4575</v>
      </c>
      <c r="E64" s="83">
        <f t="shared" si="0"/>
        <v>605</v>
      </c>
      <c r="F64" s="108">
        <f t="shared" si="1"/>
        <v>1.1524000000000001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43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71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8589902</v>
      </c>
      <c r="D6" s="102">
        <f>D7+D8+D9+D14+D15+D16+D17+D18+D19+D20+D21+D22+D23+D24+D28+D29+D31+D32+D33</f>
        <v>8589902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1121000</v>
      </c>
      <c r="D7" s="13">
        <f>C7</f>
        <v>1121000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778656</v>
      </c>
      <c r="D8" s="13">
        <f>C8</f>
        <v>778656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4077468</v>
      </c>
      <c r="D9" s="13">
        <f t="shared" ref="D9:D33" si="2">C9</f>
        <v>4077468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v>394787</v>
      </c>
      <c r="D10" s="13">
        <f t="shared" si="2"/>
        <v>394787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357564</v>
      </c>
      <c r="D11" s="13">
        <f t="shared" si="2"/>
        <v>357564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167174</v>
      </c>
      <c r="D12" s="13">
        <f t="shared" si="2"/>
        <v>167174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72775</v>
      </c>
      <c r="D13" s="13">
        <f t="shared" si="2"/>
        <v>72775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316447</v>
      </c>
      <c r="D14" s="13">
        <f t="shared" si="2"/>
        <v>316447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265809</v>
      </c>
      <c r="D15" s="13">
        <f t="shared" si="2"/>
        <v>265809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222257</v>
      </c>
      <c r="D16" s="13">
        <f t="shared" si="2"/>
        <v>222257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56235</v>
      </c>
      <c r="D17" s="13">
        <f t="shared" si="2"/>
        <v>56235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201505</v>
      </c>
      <c r="D18" s="13">
        <f t="shared" si="2"/>
        <v>201505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72000</v>
      </c>
      <c r="D19" s="13">
        <f t="shared" si="2"/>
        <v>72000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4372</v>
      </c>
      <c r="D20" s="13">
        <f t="shared" si="2"/>
        <v>4372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28529</v>
      </c>
      <c r="D21" s="13">
        <f t="shared" si="2"/>
        <v>28529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241429</v>
      </c>
      <c r="D22" s="13">
        <f t="shared" si="2"/>
        <v>241429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129910</v>
      </c>
      <c r="D23" s="13">
        <f t="shared" si="2"/>
        <v>129910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1026139</v>
      </c>
      <c r="D24" s="31">
        <f>SUM(D25:D27)</f>
        <v>1026139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1024654</v>
      </c>
      <c r="D25" s="13">
        <f t="shared" si="2"/>
        <v>1024654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966</v>
      </c>
      <c r="D26" s="13">
        <f t="shared" si="2"/>
        <v>966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519</v>
      </c>
      <c r="D27" s="13">
        <f t="shared" si="2"/>
        <v>519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48146</v>
      </c>
      <c r="D32" s="13">
        <f t="shared" si="2"/>
        <v>48146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v>200932</v>
      </c>
      <c r="D35" s="37">
        <f>C35</f>
        <v>200932</v>
      </c>
      <c r="E35" s="7" t="str">
        <f t="shared" si="0"/>
        <v>-</v>
      </c>
      <c r="F35" s="40">
        <f t="shared" si="1"/>
        <v>1</v>
      </c>
    </row>
    <row r="36" spans="1:6" s="2" customFormat="1" ht="40.5" x14ac:dyDescent="0.2">
      <c r="A36" s="52" t="s">
        <v>188</v>
      </c>
      <c r="B36" s="17" t="s">
        <v>189</v>
      </c>
      <c r="C36" s="32">
        <v>14730</v>
      </c>
      <c r="D36" s="37">
        <f>C36</f>
        <v>14730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1456478</v>
      </c>
      <c r="D37" s="32">
        <f>D11+D13+D24+D30</f>
        <v>1456478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65614</v>
      </c>
      <c r="D38" s="87">
        <f>D39+D40+D41+D49+D51+D57+D58+D56</f>
        <v>65614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v>2602</v>
      </c>
      <c r="D39" s="33">
        <f>C39</f>
        <v>2602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v>8177</v>
      </c>
      <c r="D40" s="33">
        <f t="shared" ref="D40:D58" si="3">C40</f>
        <v>8177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605</v>
      </c>
      <c r="D41" s="33">
        <f>D42+D44+D45+D46+D47+D48</f>
        <v>605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v>120</v>
      </c>
      <c r="D42" s="33">
        <f t="shared" si="3"/>
        <v>120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v>120</v>
      </c>
      <c r="D43" s="33">
        <f t="shared" si="3"/>
        <v>120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v>10</v>
      </c>
      <c r="D44" s="33">
        <f t="shared" si="3"/>
        <v>10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v>2</v>
      </c>
      <c r="D45" s="33">
        <f t="shared" si="3"/>
        <v>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42</v>
      </c>
      <c r="B46" s="46" t="s">
        <v>35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v>450</v>
      </c>
      <c r="D47" s="33">
        <f t="shared" si="3"/>
        <v>450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v>23</v>
      </c>
      <c r="D48" s="33">
        <f t="shared" si="3"/>
        <v>23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v>39411</v>
      </c>
      <c r="D49" s="33">
        <f t="shared" si="3"/>
        <v>39411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v>270</v>
      </c>
      <c r="D50" s="33">
        <f t="shared" si="3"/>
        <v>270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8781</v>
      </c>
      <c r="D51" s="29">
        <f>D52+D53+D54+D55</f>
        <v>8781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v>6775</v>
      </c>
      <c r="D52" s="33">
        <f t="shared" si="3"/>
        <v>6775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v>964</v>
      </c>
      <c r="D53" s="33">
        <f t="shared" si="3"/>
        <v>964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v>1042</v>
      </c>
      <c r="D55" s="33">
        <f t="shared" si="3"/>
        <v>1042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v>5773</v>
      </c>
      <c r="D57" s="33">
        <f t="shared" si="3"/>
        <v>5773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v>265</v>
      </c>
      <c r="D58" s="33">
        <f t="shared" si="3"/>
        <v>265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2751</v>
      </c>
      <c r="D59" s="107">
        <f>D60+D61+D62+D63</f>
        <v>10225</v>
      </c>
      <c r="E59" s="83">
        <f t="shared" si="0"/>
        <v>7474</v>
      </c>
      <c r="F59" s="108">
        <f t="shared" si="1"/>
        <v>3.7168000000000001</v>
      </c>
    </row>
    <row r="60" spans="1:6" ht="42" customHeight="1" x14ac:dyDescent="0.2">
      <c r="A60" s="51" t="s">
        <v>100</v>
      </c>
      <c r="B60" s="18" t="s">
        <v>113</v>
      </c>
      <c r="C60" s="31">
        <v>245</v>
      </c>
      <c r="D60" s="33">
        <f>C60</f>
        <v>245</v>
      </c>
      <c r="E60" s="29" t="str">
        <f t="shared" si="0"/>
        <v>-</v>
      </c>
      <c r="F60" s="39">
        <f t="shared" si="1"/>
        <v>1</v>
      </c>
    </row>
    <row r="61" spans="1:6" ht="31.5" customHeight="1" x14ac:dyDescent="0.2">
      <c r="A61" s="51" t="s">
        <v>29</v>
      </c>
      <c r="B61" s="18" t="s">
        <v>54</v>
      </c>
      <c r="C61" s="31">
        <v>1828</v>
      </c>
      <c r="D61" s="33">
        <f>C61+6092</f>
        <v>7920</v>
      </c>
      <c r="E61" s="29">
        <f t="shared" si="0"/>
        <v>6092</v>
      </c>
      <c r="F61" s="39">
        <f t="shared" si="1"/>
        <v>4.3326000000000002</v>
      </c>
    </row>
    <row r="62" spans="1:6" ht="31.5" customHeight="1" x14ac:dyDescent="0.2">
      <c r="A62" s="51" t="s">
        <v>30</v>
      </c>
      <c r="B62" s="18" t="s">
        <v>102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v>678</v>
      </c>
      <c r="D63" s="33">
        <f>C63+1382</f>
        <v>2060</v>
      </c>
      <c r="E63" s="29">
        <f t="shared" si="0"/>
        <v>1382</v>
      </c>
      <c r="F63" s="39">
        <f t="shared" si="1"/>
        <v>3.0383</v>
      </c>
    </row>
    <row r="64" spans="1:6" ht="32.25" customHeight="1" x14ac:dyDescent="0.2">
      <c r="A64" s="94" t="s">
        <v>135</v>
      </c>
      <c r="B64" s="95" t="s">
        <v>114</v>
      </c>
      <c r="C64" s="107">
        <v>1355</v>
      </c>
      <c r="D64" s="107">
        <f>C64+639</f>
        <v>1994</v>
      </c>
      <c r="E64" s="83">
        <f t="shared" si="0"/>
        <v>639</v>
      </c>
      <c r="F64" s="108">
        <f t="shared" si="1"/>
        <v>1.4716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F64"/>
  <sheetViews>
    <sheetView showGridLines="0" view="pageBreakPreview" zoomScale="55" zoomScaleNormal="70" zoomScaleSheetLayoutView="55" workbookViewId="0">
      <pane ySplit="6" topLeftCell="A43" activePane="bottomLeft" state="frozen"/>
      <selection sqref="A1:F1"/>
      <selection pane="bottomLeft" sqref="A1:F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72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2355931</v>
      </c>
      <c r="D6" s="102">
        <f>D7+D8+D9+D14+D15+D16+D17+D18+D19+D20+D21+D22+D23+D24+D28+D29+D31+D32+D33</f>
        <v>2355931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299347</v>
      </c>
      <c r="D7" s="13">
        <f>C7</f>
        <v>299347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172428</v>
      </c>
      <c r="D8" s="13">
        <f>C8</f>
        <v>172428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1153154</v>
      </c>
      <c r="D9" s="13">
        <f t="shared" ref="D9:D33" si="2">C9</f>
        <v>1153154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v>108874</v>
      </c>
      <c r="D10" s="13">
        <f t="shared" si="2"/>
        <v>108874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94916</v>
      </c>
      <c r="D11" s="13">
        <f t="shared" si="2"/>
        <v>94916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54927</v>
      </c>
      <c r="D12" s="13">
        <f t="shared" si="2"/>
        <v>54927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25458</v>
      </c>
      <c r="D13" s="13">
        <f t="shared" si="2"/>
        <v>25458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74554</v>
      </c>
      <c r="D14" s="13">
        <f t="shared" si="2"/>
        <v>74554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76677</v>
      </c>
      <c r="D15" s="13">
        <f t="shared" si="2"/>
        <v>76677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51577</v>
      </c>
      <c r="D16" s="13">
        <f t="shared" si="2"/>
        <v>51577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18488</v>
      </c>
      <c r="D17" s="13">
        <f t="shared" si="2"/>
        <v>18488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62962</v>
      </c>
      <c r="D18" s="13">
        <f t="shared" si="2"/>
        <v>62962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25825</v>
      </c>
      <c r="D19" s="13">
        <f t="shared" si="2"/>
        <v>25825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1626</v>
      </c>
      <c r="D20" s="13">
        <f t="shared" si="2"/>
        <v>1626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5970</v>
      </c>
      <c r="D21" s="13">
        <f t="shared" si="2"/>
        <v>5970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57078</v>
      </c>
      <c r="D22" s="13">
        <f t="shared" si="2"/>
        <v>57078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31540</v>
      </c>
      <c r="D23" s="13">
        <f t="shared" si="2"/>
        <v>31540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272000</v>
      </c>
      <c r="D24" s="31">
        <f>SUM(D25:D27)</f>
        <v>272000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271210</v>
      </c>
      <c r="D25" s="13">
        <f t="shared" si="2"/>
        <v>271210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590</v>
      </c>
      <c r="D26" s="13">
        <f t="shared" si="2"/>
        <v>590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52705</v>
      </c>
      <c r="D32" s="13">
        <f t="shared" si="2"/>
        <v>52705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v>57193</v>
      </c>
      <c r="D35" s="37">
        <f>C35</f>
        <v>57193</v>
      </c>
      <c r="E35" s="7" t="str">
        <f t="shared" si="0"/>
        <v>-</v>
      </c>
      <c r="F35" s="40">
        <f t="shared" si="1"/>
        <v>1</v>
      </c>
    </row>
    <row r="36" spans="1:6" s="2" customFormat="1" ht="40.5" x14ac:dyDescent="0.2">
      <c r="A36" s="52" t="s">
        <v>188</v>
      </c>
      <c r="B36" s="17" t="s">
        <v>189</v>
      </c>
      <c r="C36" s="32">
        <v>4651</v>
      </c>
      <c r="D36" s="37">
        <f>C36</f>
        <v>4651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392374</v>
      </c>
      <c r="D37" s="32">
        <f>D11+D13+D24+D30</f>
        <v>392374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18123</v>
      </c>
      <c r="D38" s="87">
        <f>D39+D40+D41+D49+D51+D57+D58+D56</f>
        <v>18123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v>562</v>
      </c>
      <c r="D39" s="33">
        <f>C39</f>
        <v>562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v>1703</v>
      </c>
      <c r="D40" s="33">
        <f t="shared" ref="D40:D58" si="3">C40</f>
        <v>1703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61</v>
      </c>
      <c r="D41" s="33">
        <f>D42+D44+D45+D46+D47+D48</f>
        <v>61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v>7</v>
      </c>
      <c r="D42" s="33">
        <f t="shared" si="3"/>
        <v>7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v>7</v>
      </c>
      <c r="D43" s="33">
        <f t="shared" si="3"/>
        <v>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v>17</v>
      </c>
      <c r="D44" s="33">
        <f t="shared" si="3"/>
        <v>17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v>20</v>
      </c>
      <c r="D47" s="33">
        <f t="shared" si="3"/>
        <v>20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v>17</v>
      </c>
      <c r="D48" s="33">
        <f t="shared" si="3"/>
        <v>17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v>11078</v>
      </c>
      <c r="D49" s="33">
        <f t="shared" si="3"/>
        <v>11078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v>35</v>
      </c>
      <c r="D50" s="33">
        <f t="shared" si="3"/>
        <v>35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2490</v>
      </c>
      <c r="D51" s="29">
        <f>D52+D53+D54+D55</f>
        <v>2490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v>1904</v>
      </c>
      <c r="D52" s="33">
        <f t="shared" si="3"/>
        <v>1904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v>271</v>
      </c>
      <c r="D53" s="33">
        <f t="shared" si="3"/>
        <v>271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v>315</v>
      </c>
      <c r="D55" s="33">
        <f t="shared" si="3"/>
        <v>315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v>2050</v>
      </c>
      <c r="D57" s="33">
        <f t="shared" si="3"/>
        <v>2050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v>179</v>
      </c>
      <c r="D58" s="33">
        <f t="shared" si="3"/>
        <v>179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10839</v>
      </c>
      <c r="D59" s="107">
        <f>D60+D61+D62+D63</f>
        <v>9100</v>
      </c>
      <c r="E59" s="83">
        <f t="shared" si="0"/>
        <v>-1739</v>
      </c>
      <c r="F59" s="108">
        <f t="shared" si="1"/>
        <v>0.83960000000000001</v>
      </c>
    </row>
    <row r="60" spans="1:6" ht="42" customHeight="1" x14ac:dyDescent="0.2">
      <c r="A60" s="51" t="s">
        <v>100</v>
      </c>
      <c r="B60" s="18" t="s">
        <v>113</v>
      </c>
      <c r="C60" s="31"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v>10239</v>
      </c>
      <c r="D61" s="33">
        <f>C61-6739</f>
        <v>3500</v>
      </c>
      <c r="E61" s="29">
        <f t="shared" si="0"/>
        <v>-6739</v>
      </c>
      <c r="F61" s="39">
        <f t="shared" si="1"/>
        <v>0.34179999999999999</v>
      </c>
    </row>
    <row r="62" spans="1:6" ht="31.5" customHeight="1" x14ac:dyDescent="0.2">
      <c r="A62" s="51" t="s">
        <v>30</v>
      </c>
      <c r="B62" s="18" t="s">
        <v>102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v>600</v>
      </c>
      <c r="D63" s="33">
        <f>C63+5000</f>
        <v>5600</v>
      </c>
      <c r="E63" s="29">
        <f t="shared" si="0"/>
        <v>5000</v>
      </c>
      <c r="F63" s="39">
        <f t="shared" si="1"/>
        <v>9.3332999999999995</v>
      </c>
    </row>
    <row r="64" spans="1:6" ht="32.25" customHeight="1" x14ac:dyDescent="0.2">
      <c r="A64" s="94" t="s">
        <v>135</v>
      </c>
      <c r="B64" s="95" t="s">
        <v>114</v>
      </c>
      <c r="C64" s="107">
        <v>3885</v>
      </c>
      <c r="D64" s="107">
        <f>C64-3585</f>
        <v>300</v>
      </c>
      <c r="E64" s="83">
        <f t="shared" si="0"/>
        <v>-3585</v>
      </c>
      <c r="F64" s="108">
        <f t="shared" si="1"/>
        <v>7.7200000000000005E-2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40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73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2471663</v>
      </c>
      <c r="D6" s="102">
        <f>D7+D8+D9+D14+D15+D16+D17+D18+D19+D20+D21+D22+D23+D24+D28+D29+D31+D32+D33</f>
        <v>2471663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343969</v>
      </c>
      <c r="D7" s="13">
        <f>C7</f>
        <v>343969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206946</v>
      </c>
      <c r="D8" s="13">
        <f>C8</f>
        <v>206946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1188583</v>
      </c>
      <c r="D9" s="13">
        <f t="shared" ref="D9:D33" si="2">C9</f>
        <v>1188583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v>100258</v>
      </c>
      <c r="D10" s="13">
        <f t="shared" si="2"/>
        <v>100258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90427</v>
      </c>
      <c r="D11" s="13">
        <f t="shared" si="2"/>
        <v>90427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45913</v>
      </c>
      <c r="D12" s="13">
        <f t="shared" si="2"/>
        <v>45913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23283</v>
      </c>
      <c r="D13" s="13">
        <f t="shared" si="2"/>
        <v>23283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91953</v>
      </c>
      <c r="D14" s="13">
        <f t="shared" si="2"/>
        <v>91953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73998</v>
      </c>
      <c r="D15" s="13">
        <f t="shared" si="2"/>
        <v>73998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40605</v>
      </c>
      <c r="D16" s="13">
        <f t="shared" si="2"/>
        <v>40605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16450</v>
      </c>
      <c r="D17" s="13">
        <f t="shared" si="2"/>
        <v>16450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84160</v>
      </c>
      <c r="D18" s="13">
        <f t="shared" si="2"/>
        <v>84160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20876</v>
      </c>
      <c r="D19" s="13">
        <f t="shared" si="2"/>
        <v>20876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2900</v>
      </c>
      <c r="D20" s="13">
        <f t="shared" si="2"/>
        <v>2900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5524</v>
      </c>
      <c r="D21" s="13">
        <f t="shared" si="2"/>
        <v>5524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70619</v>
      </c>
      <c r="D22" s="13">
        <f t="shared" si="2"/>
        <v>70619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33260</v>
      </c>
      <c r="D23" s="13">
        <f t="shared" si="2"/>
        <v>33260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285702</v>
      </c>
      <c r="D24" s="31">
        <f>SUM(D25:D27)</f>
        <v>285702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284829</v>
      </c>
      <c r="D25" s="13">
        <f t="shared" si="2"/>
        <v>284829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723</v>
      </c>
      <c r="D26" s="13">
        <f t="shared" si="2"/>
        <v>723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150</v>
      </c>
      <c r="D27" s="13">
        <f t="shared" si="2"/>
        <v>150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6118</v>
      </c>
      <c r="D32" s="13">
        <f t="shared" si="2"/>
        <v>6118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v>92791</v>
      </c>
      <c r="D35" s="37">
        <f>C35</f>
        <v>92791</v>
      </c>
      <c r="E35" s="7" t="str">
        <f t="shared" si="0"/>
        <v>-</v>
      </c>
      <c r="F35" s="40">
        <f t="shared" si="1"/>
        <v>1</v>
      </c>
    </row>
    <row r="36" spans="1:6" s="2" customFormat="1" ht="40.5" x14ac:dyDescent="0.2">
      <c r="A36" s="52" t="s">
        <v>188</v>
      </c>
      <c r="B36" s="17" t="s">
        <v>189</v>
      </c>
      <c r="C36" s="32">
        <v>4125</v>
      </c>
      <c r="D36" s="37">
        <f>C36</f>
        <v>4125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399412</v>
      </c>
      <c r="D37" s="32">
        <f>D11+D13+D24+D30</f>
        <v>399412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19628</v>
      </c>
      <c r="D38" s="87">
        <f>D39+D40+D41+D49+D51+D57+D58+D56</f>
        <v>19628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v>803</v>
      </c>
      <c r="D39" s="33">
        <f>C39</f>
        <v>803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v>2050</v>
      </c>
      <c r="D40" s="33">
        <f t="shared" ref="D40:D58" si="3">C40</f>
        <v>2050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95</v>
      </c>
      <c r="D41" s="33">
        <f>D42+D44+D45+D46+D47+D48</f>
        <v>95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v>30</v>
      </c>
      <c r="D42" s="33">
        <f t="shared" si="3"/>
        <v>30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v>27</v>
      </c>
      <c r="D43" s="33">
        <f t="shared" si="3"/>
        <v>27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v>5</v>
      </c>
      <c r="D44" s="33">
        <f t="shared" si="3"/>
        <v>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v>57</v>
      </c>
      <c r="D47" s="33">
        <f t="shared" si="3"/>
        <v>57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v>3</v>
      </c>
      <c r="D48" s="33">
        <f t="shared" si="3"/>
        <v>3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v>11603</v>
      </c>
      <c r="D49" s="33">
        <f t="shared" si="3"/>
        <v>11603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v>30</v>
      </c>
      <c r="D50" s="33">
        <f t="shared" si="3"/>
        <v>30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2581</v>
      </c>
      <c r="D51" s="29">
        <f>D52+D53+D54+D55</f>
        <v>2581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v>1995</v>
      </c>
      <c r="D52" s="33">
        <f t="shared" si="3"/>
        <v>1995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v>283</v>
      </c>
      <c r="D53" s="33">
        <f t="shared" si="3"/>
        <v>283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v>303</v>
      </c>
      <c r="D55" s="33">
        <f t="shared" si="3"/>
        <v>303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v>2333</v>
      </c>
      <c r="D57" s="33">
        <f t="shared" si="3"/>
        <v>2333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v>163</v>
      </c>
      <c r="D58" s="33">
        <f t="shared" si="3"/>
        <v>163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946</v>
      </c>
      <c r="D59" s="107">
        <f>D60+D61+D62+D63</f>
        <v>1365</v>
      </c>
      <c r="E59" s="83">
        <f t="shared" si="0"/>
        <v>419</v>
      </c>
      <c r="F59" s="108">
        <f t="shared" si="1"/>
        <v>1.4429000000000001</v>
      </c>
    </row>
    <row r="60" spans="1:6" ht="42" customHeight="1" x14ac:dyDescent="0.2">
      <c r="A60" s="51" t="s">
        <v>100</v>
      </c>
      <c r="B60" s="18" t="s">
        <v>113</v>
      </c>
      <c r="C60" s="31"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v>209</v>
      </c>
      <c r="D61" s="33">
        <f>C61+556</f>
        <v>765</v>
      </c>
      <c r="E61" s="29">
        <f t="shared" si="0"/>
        <v>556</v>
      </c>
      <c r="F61" s="39">
        <f t="shared" si="1"/>
        <v>3.6602999999999999</v>
      </c>
    </row>
    <row r="62" spans="1:6" ht="31.5" customHeight="1" x14ac:dyDescent="0.2">
      <c r="A62" s="51" t="s">
        <v>30</v>
      </c>
      <c r="B62" s="18" t="s">
        <v>102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v>737</v>
      </c>
      <c r="D63" s="33">
        <f>C63-137</f>
        <v>600</v>
      </c>
      <c r="E63" s="29">
        <f t="shared" si="0"/>
        <v>-137</v>
      </c>
      <c r="F63" s="39">
        <f t="shared" si="1"/>
        <v>0.81410000000000005</v>
      </c>
    </row>
    <row r="64" spans="1:6" ht="32.25" customHeight="1" x14ac:dyDescent="0.2">
      <c r="A64" s="94" t="s">
        <v>135</v>
      </c>
      <c r="B64" s="95" t="s">
        <v>114</v>
      </c>
      <c r="C64" s="107">
        <v>45</v>
      </c>
      <c r="D64" s="107">
        <f>C64+113</f>
        <v>158</v>
      </c>
      <c r="E64" s="83">
        <f t="shared" si="0"/>
        <v>113</v>
      </c>
      <c r="F64" s="108">
        <f t="shared" si="1"/>
        <v>3.5110999999999999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16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74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6283185</v>
      </c>
      <c r="D6" s="102">
        <f>D7+D8+D9+D14+D15+D16+D17+D18+D19+D20+D21+D22+D23+D24+D28+D29+D31+D32+D33</f>
        <v>6283185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878908</v>
      </c>
      <c r="D7" s="13">
        <f>C7</f>
        <v>878908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520079</v>
      </c>
      <c r="D8" s="13">
        <f>C8</f>
        <v>520079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3072615</v>
      </c>
      <c r="D9" s="13">
        <f t="shared" ref="D9:D33" si="2">C9</f>
        <v>3072615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v>271097</v>
      </c>
      <c r="D10" s="13">
        <f t="shared" si="2"/>
        <v>271097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248420</v>
      </c>
      <c r="D11" s="13">
        <f t="shared" si="2"/>
        <v>248420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127611</v>
      </c>
      <c r="D12" s="13">
        <f t="shared" si="2"/>
        <v>127611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58498</v>
      </c>
      <c r="D13" s="13">
        <f t="shared" si="2"/>
        <v>58498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214338</v>
      </c>
      <c r="D14" s="13">
        <f t="shared" si="2"/>
        <v>214338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176989</v>
      </c>
      <c r="D15" s="13">
        <f t="shared" si="2"/>
        <v>176989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82364</v>
      </c>
      <c r="D16" s="13">
        <f t="shared" si="2"/>
        <v>82364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51212</v>
      </c>
      <c r="D17" s="13">
        <f t="shared" si="2"/>
        <v>51212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149244</v>
      </c>
      <c r="D18" s="13">
        <f t="shared" si="2"/>
        <v>149244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62910</v>
      </c>
      <c r="D19" s="13">
        <f t="shared" si="2"/>
        <v>62910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3400</v>
      </c>
      <c r="D20" s="13">
        <f t="shared" si="2"/>
        <v>3400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17402</v>
      </c>
      <c r="D21" s="13">
        <f t="shared" si="2"/>
        <v>17402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194387</v>
      </c>
      <c r="D22" s="13">
        <f t="shared" si="2"/>
        <v>194387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85500</v>
      </c>
      <c r="D23" s="13">
        <f t="shared" si="2"/>
        <v>85500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769074</v>
      </c>
      <c r="D24" s="31">
        <f>SUM(D25:D27)</f>
        <v>769074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766574</v>
      </c>
      <c r="D25" s="13">
        <f t="shared" si="2"/>
        <v>766574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1500</v>
      </c>
      <c r="D26" s="13">
        <f t="shared" si="2"/>
        <v>1500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4763</v>
      </c>
      <c r="D32" s="13">
        <f t="shared" si="2"/>
        <v>4763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v>147874</v>
      </c>
      <c r="D35" s="37">
        <f>C35</f>
        <v>147874</v>
      </c>
      <c r="E35" s="7" t="str">
        <f t="shared" si="0"/>
        <v>-</v>
      </c>
      <c r="F35" s="40">
        <f t="shared" si="1"/>
        <v>1</v>
      </c>
    </row>
    <row r="36" spans="1:6" s="2" customFormat="1" ht="40.5" x14ac:dyDescent="0.2">
      <c r="A36" s="52" t="s">
        <v>188</v>
      </c>
      <c r="B36" s="17" t="s">
        <v>189</v>
      </c>
      <c r="C36" s="32">
        <v>9878</v>
      </c>
      <c r="D36" s="37">
        <f>C36</f>
        <v>9878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1075992</v>
      </c>
      <c r="D37" s="32">
        <f>D11+D13+D24+D30</f>
        <v>1075992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44911</v>
      </c>
      <c r="D38" s="87">
        <f>D39+D40+D41+D49+D51+D57+D58+D56</f>
        <v>44911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v>2330</v>
      </c>
      <c r="D39" s="33">
        <f>C39</f>
        <v>2330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v>6815</v>
      </c>
      <c r="D40" s="33">
        <f t="shared" ref="D40:D58" si="3">C40</f>
        <v>6815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547</v>
      </c>
      <c r="D41" s="33">
        <f>D42+D44+D45+D46+D47+D48</f>
        <v>547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v>51</v>
      </c>
      <c r="D42" s="33">
        <f t="shared" si="3"/>
        <v>51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v>51</v>
      </c>
      <c r="D43" s="33">
        <f t="shared" si="3"/>
        <v>51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v>237</v>
      </c>
      <c r="D44" s="33">
        <f t="shared" si="3"/>
        <v>237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v>253</v>
      </c>
      <c r="D47" s="33">
        <f t="shared" si="3"/>
        <v>253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v>6</v>
      </c>
      <c r="D48" s="33">
        <f t="shared" si="3"/>
        <v>6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v>24258</v>
      </c>
      <c r="D49" s="33">
        <f t="shared" si="3"/>
        <v>24258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v>123</v>
      </c>
      <c r="D50" s="33">
        <f t="shared" si="3"/>
        <v>123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5402</v>
      </c>
      <c r="D51" s="29">
        <f>D52+D53+D54+D55</f>
        <v>5402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v>4170</v>
      </c>
      <c r="D52" s="33">
        <f t="shared" si="3"/>
        <v>4170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v>593</v>
      </c>
      <c r="D53" s="33">
        <f t="shared" si="3"/>
        <v>593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v>639</v>
      </c>
      <c r="D55" s="33">
        <f t="shared" si="3"/>
        <v>639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v>5048</v>
      </c>
      <c r="D57" s="33">
        <f t="shared" si="3"/>
        <v>5048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v>511</v>
      </c>
      <c r="D58" s="33">
        <f t="shared" si="3"/>
        <v>511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20800</v>
      </c>
      <c r="D59" s="107">
        <f>D60+D61+D62+D63</f>
        <v>16578</v>
      </c>
      <c r="E59" s="83">
        <f t="shared" si="0"/>
        <v>-4222</v>
      </c>
      <c r="F59" s="108">
        <f t="shared" si="1"/>
        <v>0.79700000000000004</v>
      </c>
    </row>
    <row r="60" spans="1:6" ht="42" customHeight="1" x14ac:dyDescent="0.2">
      <c r="A60" s="51" t="s">
        <v>100</v>
      </c>
      <c r="B60" s="18" t="s">
        <v>113</v>
      </c>
      <c r="C60" s="31">
        <v>50</v>
      </c>
      <c r="D60" s="33">
        <f>C60</f>
        <v>50</v>
      </c>
      <c r="E60" s="29" t="str">
        <f t="shared" si="0"/>
        <v>-</v>
      </c>
      <c r="F60" s="39">
        <f t="shared" si="1"/>
        <v>1</v>
      </c>
    </row>
    <row r="61" spans="1:6" ht="31.5" customHeight="1" x14ac:dyDescent="0.2">
      <c r="A61" s="51" t="s">
        <v>29</v>
      </c>
      <c r="B61" s="18" t="s">
        <v>54</v>
      </c>
      <c r="C61" s="31">
        <v>20000</v>
      </c>
      <c r="D61" s="33">
        <f>C61-4672</f>
        <v>15328</v>
      </c>
      <c r="E61" s="29">
        <f t="shared" si="0"/>
        <v>-4672</v>
      </c>
      <c r="F61" s="39">
        <f t="shared" si="1"/>
        <v>0.76639999999999997</v>
      </c>
    </row>
    <row r="62" spans="1:6" ht="31.5" customHeight="1" x14ac:dyDescent="0.2">
      <c r="A62" s="51" t="s">
        <v>30</v>
      </c>
      <c r="B62" s="18" t="s">
        <v>102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v>750</v>
      </c>
      <c r="D63" s="33">
        <f>C63+450</f>
        <v>1200</v>
      </c>
      <c r="E63" s="29">
        <f t="shared" si="0"/>
        <v>450</v>
      </c>
      <c r="F63" s="39">
        <f t="shared" si="1"/>
        <v>1.6</v>
      </c>
    </row>
    <row r="64" spans="1:6" ht="32.25" customHeight="1" x14ac:dyDescent="0.2">
      <c r="A64" s="94" t="s">
        <v>135</v>
      </c>
      <c r="B64" s="95" t="s">
        <v>114</v>
      </c>
      <c r="C64" s="107">
        <v>3200</v>
      </c>
      <c r="D64" s="107">
        <v>5510</v>
      </c>
      <c r="E64" s="83">
        <f t="shared" si="0"/>
        <v>2310</v>
      </c>
      <c r="F64" s="108">
        <f t="shared" si="1"/>
        <v>1.7219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3.2851562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75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3046485</v>
      </c>
      <c r="D6" s="102">
        <f>D7+D8+D9+D14+D15+D16+D17+D18+D19+D20+D21+D22+D23+D24+D28+D29+D31+D32+D33</f>
        <v>3046485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415236</v>
      </c>
      <c r="D7" s="13">
        <f>C7</f>
        <v>415236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257318</v>
      </c>
      <c r="D8" s="13">
        <f>C8</f>
        <v>257318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1525603</v>
      </c>
      <c r="D9" s="13">
        <f t="shared" ref="D9:D33" si="2">C9</f>
        <v>1525603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v>133516</v>
      </c>
      <c r="D10" s="13">
        <f t="shared" si="2"/>
        <v>133516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122516</v>
      </c>
      <c r="D11" s="13">
        <f t="shared" si="2"/>
        <v>122516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60500</v>
      </c>
      <c r="D12" s="13">
        <f t="shared" si="2"/>
        <v>60500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27500</v>
      </c>
      <c r="D13" s="13">
        <f t="shared" si="2"/>
        <v>27500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97795</v>
      </c>
      <c r="D14" s="13">
        <f t="shared" si="2"/>
        <v>97795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76786</v>
      </c>
      <c r="D15" s="13">
        <f t="shared" si="2"/>
        <v>76786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41534</v>
      </c>
      <c r="D16" s="13">
        <f t="shared" si="2"/>
        <v>41534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13864</v>
      </c>
      <c r="D17" s="13">
        <f t="shared" si="2"/>
        <v>13864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86702</v>
      </c>
      <c r="D18" s="13">
        <f t="shared" si="2"/>
        <v>86702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24100</v>
      </c>
      <c r="D19" s="13">
        <f t="shared" si="2"/>
        <v>24100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2440</v>
      </c>
      <c r="D20" s="13">
        <f t="shared" si="2"/>
        <v>2440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9487</v>
      </c>
      <c r="D21" s="13">
        <f t="shared" si="2"/>
        <v>9487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89545</v>
      </c>
      <c r="D22" s="13">
        <f t="shared" si="2"/>
        <v>89545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38000</v>
      </c>
      <c r="D23" s="13">
        <f t="shared" si="2"/>
        <v>38000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360511</v>
      </c>
      <c r="D24" s="31">
        <f>SUM(D25:D27)</f>
        <v>360511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359994</v>
      </c>
      <c r="D25" s="13">
        <f t="shared" si="2"/>
        <v>359994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355</v>
      </c>
      <c r="D26" s="13">
        <f t="shared" si="2"/>
        <v>355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162</v>
      </c>
      <c r="D27" s="13">
        <f t="shared" si="2"/>
        <v>162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7564</v>
      </c>
      <c r="D32" s="13">
        <f t="shared" si="2"/>
        <v>7564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v>101307</v>
      </c>
      <c r="D35" s="37">
        <f>C35</f>
        <v>101307</v>
      </c>
      <c r="E35" s="7" t="str">
        <f t="shared" si="0"/>
        <v>-</v>
      </c>
      <c r="F35" s="40">
        <f t="shared" si="1"/>
        <v>1</v>
      </c>
    </row>
    <row r="36" spans="1:6" s="2" customFormat="1" ht="40.5" x14ac:dyDescent="0.2">
      <c r="A36" s="52" t="s">
        <v>188</v>
      </c>
      <c r="B36" s="17" t="s">
        <v>189</v>
      </c>
      <c r="C36" s="32">
        <v>5102</v>
      </c>
      <c r="D36" s="37">
        <f>C36</f>
        <v>5102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510527</v>
      </c>
      <c r="D37" s="32">
        <f>D11+D13+D24+D30</f>
        <v>510527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21707</v>
      </c>
      <c r="D38" s="87">
        <f>D39+D40+D41+D49+D51+D57+D58+D56</f>
        <v>21707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v>800</v>
      </c>
      <c r="D39" s="33">
        <f>C39</f>
        <v>800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v>2690</v>
      </c>
      <c r="D40" s="33">
        <f t="shared" ref="D40:D58" si="3">C40</f>
        <v>2690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203</v>
      </c>
      <c r="D41" s="33">
        <f>D42+D44+D45+D46+D47+D48</f>
        <v>203</v>
      </c>
      <c r="E41" s="38" t="str">
        <f t="shared" si="0"/>
        <v>-</v>
      </c>
      <c r="F41" s="39">
        <f t="shared" si="1"/>
        <v>1</v>
      </c>
    </row>
    <row r="42" spans="1:6" ht="23.25" customHeight="1" x14ac:dyDescent="0.2">
      <c r="A42" s="53" t="s">
        <v>38</v>
      </c>
      <c r="B42" s="46" t="s">
        <v>31</v>
      </c>
      <c r="C42" s="31">
        <v>25</v>
      </c>
      <c r="D42" s="33">
        <f t="shared" si="3"/>
        <v>25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v>25</v>
      </c>
      <c r="D43" s="33">
        <f t="shared" si="3"/>
        <v>25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v>18</v>
      </c>
      <c r="D44" s="33">
        <f t="shared" si="3"/>
        <v>18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v>135</v>
      </c>
      <c r="D47" s="33">
        <f t="shared" si="3"/>
        <v>135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v>25</v>
      </c>
      <c r="D48" s="33">
        <f t="shared" si="3"/>
        <v>25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v>13626</v>
      </c>
      <c r="D49" s="33">
        <f t="shared" si="3"/>
        <v>13626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v>50</v>
      </c>
      <c r="D50" s="33">
        <f t="shared" si="3"/>
        <v>50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3043</v>
      </c>
      <c r="D51" s="29">
        <f>D52+D53+D54+D55</f>
        <v>3043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v>2342</v>
      </c>
      <c r="D52" s="33">
        <f t="shared" si="3"/>
        <v>2342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v>334</v>
      </c>
      <c r="D53" s="33">
        <f t="shared" si="3"/>
        <v>334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v>367</v>
      </c>
      <c r="D55" s="33">
        <f t="shared" si="3"/>
        <v>367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v>1200</v>
      </c>
      <c r="D57" s="33">
        <f t="shared" si="3"/>
        <v>1200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v>145</v>
      </c>
      <c r="D58" s="33">
        <f t="shared" si="3"/>
        <v>145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1099</v>
      </c>
      <c r="D59" s="107">
        <f>D60+D61+D62+D63</f>
        <v>1623</v>
      </c>
      <c r="E59" s="83">
        <f t="shared" si="0"/>
        <v>524</v>
      </c>
      <c r="F59" s="108">
        <f t="shared" si="1"/>
        <v>1.4767999999999999</v>
      </c>
    </row>
    <row r="60" spans="1:6" ht="42" customHeight="1" x14ac:dyDescent="0.2">
      <c r="A60" s="51" t="s">
        <v>100</v>
      </c>
      <c r="B60" s="18" t="s">
        <v>113</v>
      </c>
      <c r="C60" s="31"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v>688</v>
      </c>
      <c r="D61" s="33">
        <f>C61+112</f>
        <v>800</v>
      </c>
      <c r="E61" s="29">
        <f t="shared" si="0"/>
        <v>112</v>
      </c>
      <c r="F61" s="39">
        <f t="shared" si="1"/>
        <v>1.1628000000000001</v>
      </c>
    </row>
    <row r="62" spans="1:6" ht="31.5" customHeight="1" x14ac:dyDescent="0.2">
      <c r="A62" s="51" t="s">
        <v>30</v>
      </c>
      <c r="B62" s="18" t="s">
        <v>102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v>411</v>
      </c>
      <c r="D63" s="33">
        <f>C63+412</f>
        <v>823</v>
      </c>
      <c r="E63" s="29">
        <f t="shared" si="0"/>
        <v>412</v>
      </c>
      <c r="F63" s="39">
        <f t="shared" si="1"/>
        <v>2.0024000000000002</v>
      </c>
    </row>
    <row r="64" spans="1:6" ht="32.25" customHeight="1" x14ac:dyDescent="0.2">
      <c r="A64" s="94" t="s">
        <v>135</v>
      </c>
      <c r="B64" s="95" t="s">
        <v>114</v>
      </c>
      <c r="C64" s="107">
        <v>183</v>
      </c>
      <c r="D64" s="107">
        <f>C64-112</f>
        <v>71</v>
      </c>
      <c r="E64" s="83">
        <f t="shared" si="0"/>
        <v>-112</v>
      </c>
      <c r="F64" s="108">
        <f t="shared" si="1"/>
        <v>0.38800000000000001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view="pageBreakPreview" zoomScale="55" zoomScaleNormal="70" zoomScaleSheetLayoutView="55" workbookViewId="0">
      <pane xSplit="2" ySplit="6" topLeftCell="C25" activePane="bottomRight" state="frozen"/>
      <selection activeCell="B56" sqref="B56"/>
      <selection pane="topRight" activeCell="B56" sqref="B56"/>
      <selection pane="bottomLeft" activeCell="B56" sqref="B56"/>
      <selection pane="bottomRight" sqref="A1:F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167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920939</v>
      </c>
      <c r="D6" s="102">
        <f>D7+D8+D9+D14+D15+D16+D17+D18+D19+D20+D21+D22+D23+D24+D28+D29+D31+D32+D33</f>
        <v>920939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0</v>
      </c>
      <c r="D7" s="13">
        <f>C7</f>
        <v>0</v>
      </c>
      <c r="E7" s="38" t="str">
        <f t="shared" ref="E7:E64" si="0">IF(C7=D7,"-",D7-C7)</f>
        <v>-</v>
      </c>
      <c r="F7" s="39" t="str">
        <f t="shared" ref="F7:F64" si="1">IF(C7=0,"-",D7/C7)</f>
        <v>-</v>
      </c>
    </row>
    <row r="8" spans="1:6" ht="33" customHeight="1" x14ac:dyDescent="0.2">
      <c r="A8" s="48" t="s">
        <v>2</v>
      </c>
      <c r="B8" s="14" t="s">
        <v>118</v>
      </c>
      <c r="C8" s="31">
        <v>0</v>
      </c>
      <c r="D8" s="13">
        <f>C8</f>
        <v>0</v>
      </c>
      <c r="E8" s="38" t="str">
        <f t="shared" si="0"/>
        <v>-</v>
      </c>
      <c r="F8" s="39" t="str">
        <f t="shared" si="1"/>
        <v>-</v>
      </c>
    </row>
    <row r="9" spans="1:6" ht="33" customHeight="1" x14ac:dyDescent="0.2">
      <c r="A9" s="48" t="s">
        <v>3</v>
      </c>
      <c r="B9" s="14" t="s">
        <v>115</v>
      </c>
      <c r="C9" s="31">
        <v>0</v>
      </c>
      <c r="D9" s="13">
        <f t="shared" ref="D9:D33" si="2">C9</f>
        <v>0</v>
      </c>
      <c r="E9" s="38" t="str">
        <f t="shared" si="0"/>
        <v>-</v>
      </c>
      <c r="F9" s="39" t="str">
        <f t="shared" si="1"/>
        <v>-</v>
      </c>
    </row>
    <row r="10" spans="1:6" ht="31.5" customHeight="1" x14ac:dyDescent="0.2">
      <c r="A10" s="49" t="s">
        <v>55</v>
      </c>
      <c r="B10" s="45" t="s">
        <v>140</v>
      </c>
      <c r="C10" s="31">
        <v>0</v>
      </c>
      <c r="D10" s="13">
        <f t="shared" si="2"/>
        <v>0</v>
      </c>
      <c r="E10" s="38" t="str">
        <f t="shared" si="0"/>
        <v>-</v>
      </c>
      <c r="F10" s="39" t="str">
        <f t="shared" si="1"/>
        <v>-</v>
      </c>
    </row>
    <row r="11" spans="1:6" ht="31.5" customHeight="1" x14ac:dyDescent="0.2">
      <c r="A11" s="49" t="s">
        <v>141</v>
      </c>
      <c r="B11" s="45" t="s">
        <v>144</v>
      </c>
      <c r="C11" s="31">
        <v>0</v>
      </c>
      <c r="D11" s="13">
        <f t="shared" si="2"/>
        <v>0</v>
      </c>
      <c r="E11" s="38" t="str">
        <f t="shared" si="0"/>
        <v>-</v>
      </c>
      <c r="F11" s="39" t="str">
        <f t="shared" si="1"/>
        <v>-</v>
      </c>
    </row>
    <row r="12" spans="1:6" ht="31.5" customHeight="1" x14ac:dyDescent="0.2">
      <c r="A12" s="49" t="s">
        <v>142</v>
      </c>
      <c r="B12" s="45" t="s">
        <v>145</v>
      </c>
      <c r="C12" s="31">
        <v>0</v>
      </c>
      <c r="D12" s="13">
        <f t="shared" si="2"/>
        <v>0</v>
      </c>
      <c r="E12" s="38" t="str">
        <f t="shared" si="0"/>
        <v>-</v>
      </c>
      <c r="F12" s="39" t="str">
        <f t="shared" si="1"/>
        <v>-</v>
      </c>
    </row>
    <row r="13" spans="1:6" ht="31.5" customHeight="1" x14ac:dyDescent="0.2">
      <c r="A13" s="49" t="s">
        <v>143</v>
      </c>
      <c r="B13" s="45" t="s">
        <v>146</v>
      </c>
      <c r="C13" s="31">
        <v>0</v>
      </c>
      <c r="D13" s="13">
        <f t="shared" si="2"/>
        <v>0</v>
      </c>
      <c r="E13" s="38" t="str">
        <f t="shared" si="0"/>
        <v>-</v>
      </c>
      <c r="F13" s="39" t="str">
        <f t="shared" si="1"/>
        <v>-</v>
      </c>
    </row>
    <row r="14" spans="1:6" ht="33" customHeight="1" x14ac:dyDescent="0.2">
      <c r="A14" s="48" t="s">
        <v>4</v>
      </c>
      <c r="B14" s="14" t="s">
        <v>123</v>
      </c>
      <c r="C14" s="31">
        <v>0</v>
      </c>
      <c r="D14" s="13">
        <f t="shared" si="2"/>
        <v>0</v>
      </c>
      <c r="E14" s="38" t="str">
        <f t="shared" si="0"/>
        <v>-</v>
      </c>
      <c r="F14" s="39" t="str">
        <f t="shared" si="1"/>
        <v>-</v>
      </c>
    </row>
    <row r="15" spans="1:6" ht="33" customHeight="1" x14ac:dyDescent="0.2">
      <c r="A15" s="48" t="s">
        <v>5</v>
      </c>
      <c r="B15" s="14" t="s">
        <v>119</v>
      </c>
      <c r="C15" s="31">
        <v>0</v>
      </c>
      <c r="D15" s="13">
        <f t="shared" si="2"/>
        <v>0</v>
      </c>
      <c r="E15" s="38" t="str">
        <f t="shared" si="0"/>
        <v>-</v>
      </c>
      <c r="F15" s="39" t="str">
        <f t="shared" si="1"/>
        <v>-</v>
      </c>
    </row>
    <row r="16" spans="1:6" ht="33" customHeight="1" x14ac:dyDescent="0.2">
      <c r="A16" s="48" t="s">
        <v>6</v>
      </c>
      <c r="B16" s="14" t="s">
        <v>125</v>
      </c>
      <c r="C16" s="31">
        <v>0</v>
      </c>
      <c r="D16" s="13">
        <f t="shared" si="2"/>
        <v>0</v>
      </c>
      <c r="E16" s="38" t="str">
        <f t="shared" si="0"/>
        <v>-</v>
      </c>
      <c r="F16" s="39" t="str">
        <f t="shared" si="1"/>
        <v>-</v>
      </c>
    </row>
    <row r="17" spans="1:6" ht="33" customHeight="1" x14ac:dyDescent="0.2">
      <c r="A17" s="48" t="s">
        <v>7</v>
      </c>
      <c r="B17" s="14" t="s">
        <v>124</v>
      </c>
      <c r="C17" s="31">
        <v>0</v>
      </c>
      <c r="D17" s="13">
        <f t="shared" si="2"/>
        <v>0</v>
      </c>
      <c r="E17" s="38" t="str">
        <f t="shared" si="0"/>
        <v>-</v>
      </c>
      <c r="F17" s="39" t="str">
        <f t="shared" si="1"/>
        <v>-</v>
      </c>
    </row>
    <row r="18" spans="1:6" ht="33" customHeight="1" x14ac:dyDescent="0.2">
      <c r="A18" s="48" t="s">
        <v>8</v>
      </c>
      <c r="B18" s="14" t="s">
        <v>120</v>
      </c>
      <c r="C18" s="31">
        <v>0</v>
      </c>
      <c r="D18" s="13">
        <f t="shared" si="2"/>
        <v>0</v>
      </c>
      <c r="E18" s="38" t="str">
        <f t="shared" si="0"/>
        <v>-</v>
      </c>
      <c r="F18" s="39" t="str">
        <f t="shared" si="1"/>
        <v>-</v>
      </c>
    </row>
    <row r="19" spans="1:6" ht="33" customHeight="1" x14ac:dyDescent="0.2">
      <c r="A19" s="48" t="s">
        <v>9</v>
      </c>
      <c r="B19" s="14" t="s">
        <v>121</v>
      </c>
      <c r="C19" s="31">
        <v>0</v>
      </c>
      <c r="D19" s="13">
        <f t="shared" si="2"/>
        <v>0</v>
      </c>
      <c r="E19" s="38" t="str">
        <f t="shared" si="0"/>
        <v>-</v>
      </c>
      <c r="F19" s="39" t="str">
        <f t="shared" si="1"/>
        <v>-</v>
      </c>
    </row>
    <row r="20" spans="1:6" ht="33" customHeight="1" x14ac:dyDescent="0.2">
      <c r="A20" s="48" t="s">
        <v>10</v>
      </c>
      <c r="B20" s="14" t="s">
        <v>126</v>
      </c>
      <c r="C20" s="31">
        <v>0</v>
      </c>
      <c r="D20" s="13">
        <f t="shared" si="2"/>
        <v>0</v>
      </c>
      <c r="E20" s="38" t="str">
        <f t="shared" si="0"/>
        <v>-</v>
      </c>
      <c r="F20" s="39" t="str">
        <f t="shared" si="1"/>
        <v>-</v>
      </c>
    </row>
    <row r="21" spans="1:6" ht="46.5" customHeight="1" x14ac:dyDescent="0.2">
      <c r="A21" s="48" t="s">
        <v>11</v>
      </c>
      <c r="B21" s="14" t="s">
        <v>122</v>
      </c>
      <c r="C21" s="31">
        <v>0</v>
      </c>
      <c r="D21" s="13">
        <f t="shared" si="2"/>
        <v>0</v>
      </c>
      <c r="E21" s="38" t="str">
        <f t="shared" si="0"/>
        <v>-</v>
      </c>
      <c r="F21" s="39" t="str">
        <f t="shared" si="1"/>
        <v>-</v>
      </c>
    </row>
    <row r="22" spans="1:6" ht="33" customHeight="1" x14ac:dyDescent="0.2">
      <c r="A22" s="48" t="s">
        <v>12</v>
      </c>
      <c r="B22" s="14" t="s">
        <v>163</v>
      </c>
      <c r="C22" s="31">
        <v>0</v>
      </c>
      <c r="D22" s="13">
        <f t="shared" si="2"/>
        <v>0</v>
      </c>
      <c r="E22" s="38" t="str">
        <f t="shared" si="0"/>
        <v>-</v>
      </c>
      <c r="F22" s="39" t="str">
        <f t="shared" si="1"/>
        <v>-</v>
      </c>
    </row>
    <row r="23" spans="1:6" ht="33" customHeight="1" x14ac:dyDescent="0.2">
      <c r="A23" s="48" t="s">
        <v>13</v>
      </c>
      <c r="B23" s="14" t="s">
        <v>147</v>
      </c>
      <c r="C23" s="31">
        <v>0</v>
      </c>
      <c r="D23" s="13">
        <f t="shared" si="2"/>
        <v>0</v>
      </c>
      <c r="E23" s="38" t="str">
        <f t="shared" si="0"/>
        <v>-</v>
      </c>
      <c r="F23" s="39" t="str">
        <f t="shared" si="1"/>
        <v>-</v>
      </c>
    </row>
    <row r="24" spans="1:6" ht="33" customHeight="1" x14ac:dyDescent="0.2">
      <c r="A24" s="50" t="s">
        <v>14</v>
      </c>
      <c r="B24" s="30" t="s">
        <v>180</v>
      </c>
      <c r="C24" s="31">
        <v>0</v>
      </c>
      <c r="D24" s="31">
        <f>SUM(D25:D27)</f>
        <v>0</v>
      </c>
      <c r="E24" s="38" t="str">
        <f t="shared" si="0"/>
        <v>-</v>
      </c>
      <c r="F24" s="39" t="str">
        <f t="shared" si="1"/>
        <v>-</v>
      </c>
    </row>
    <row r="25" spans="1:6" ht="37.5" x14ac:dyDescent="0.2">
      <c r="A25" s="49" t="s">
        <v>127</v>
      </c>
      <c r="B25" s="45" t="s">
        <v>149</v>
      </c>
      <c r="C25" s="31">
        <v>0</v>
      </c>
      <c r="D25" s="13">
        <f t="shared" si="2"/>
        <v>0</v>
      </c>
      <c r="E25" s="38" t="str">
        <f t="shared" si="0"/>
        <v>-</v>
      </c>
      <c r="F25" s="39" t="str">
        <f t="shared" si="1"/>
        <v>-</v>
      </c>
    </row>
    <row r="26" spans="1:6" ht="31.5" customHeight="1" x14ac:dyDescent="0.2">
      <c r="A26" s="49" t="s">
        <v>148</v>
      </c>
      <c r="B26" s="45" t="s">
        <v>151</v>
      </c>
      <c r="C26" s="31">
        <v>0</v>
      </c>
      <c r="D26" s="13">
        <f t="shared" si="2"/>
        <v>0</v>
      </c>
      <c r="E26" s="38" t="str">
        <f t="shared" si="0"/>
        <v>-</v>
      </c>
      <c r="F26" s="39" t="str">
        <f t="shared" si="1"/>
        <v>-</v>
      </c>
    </row>
    <row r="27" spans="1:6" ht="37.5" x14ac:dyDescent="0.2">
      <c r="A27" s="49" t="s">
        <v>152</v>
      </c>
      <c r="B27" s="45" t="s">
        <v>150</v>
      </c>
      <c r="C27" s="31">
        <v>0</v>
      </c>
      <c r="D27" s="13">
        <f t="shared" si="2"/>
        <v>0</v>
      </c>
      <c r="E27" s="38" t="str">
        <f t="shared" si="0"/>
        <v>-</v>
      </c>
      <c r="F27" s="39" t="str">
        <f t="shared" si="1"/>
        <v>-</v>
      </c>
    </row>
    <row r="28" spans="1:6" ht="33" customHeight="1" x14ac:dyDescent="0.2">
      <c r="A28" s="51" t="s">
        <v>15</v>
      </c>
      <c r="B28" s="15" t="s">
        <v>111</v>
      </c>
      <c r="C28" s="31">
        <v>535079</v>
      </c>
      <c r="D28" s="13">
        <f t="shared" si="2"/>
        <v>535079</v>
      </c>
      <c r="E28" s="38" t="str">
        <f t="shared" si="0"/>
        <v>-</v>
      </c>
      <c r="F28" s="39">
        <f t="shared" si="1"/>
        <v>1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0</v>
      </c>
      <c r="D32" s="13">
        <f t="shared" si="2"/>
        <v>0</v>
      </c>
      <c r="E32" s="38" t="str">
        <f t="shared" si="0"/>
        <v>-</v>
      </c>
      <c r="F32" s="39" t="str">
        <f t="shared" si="1"/>
        <v>-</v>
      </c>
    </row>
    <row r="33" spans="1:6" ht="42.75" customHeight="1" x14ac:dyDescent="0.2">
      <c r="A33" s="51" t="s">
        <v>181</v>
      </c>
      <c r="B33" s="16" t="s">
        <v>182</v>
      </c>
      <c r="C33" s="31">
        <v>385860</v>
      </c>
      <c r="D33" s="13">
        <f t="shared" si="2"/>
        <v>385860</v>
      </c>
      <c r="E33" s="38" t="str">
        <f>IF(C33=D33,"-",D33-C33)</f>
        <v>-</v>
      </c>
      <c r="F33" s="39">
        <f>IF(C33=0,"-",D33/C33)</f>
        <v>1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40.5" x14ac:dyDescent="0.2">
      <c r="A36" s="52" t="s">
        <v>188</v>
      </c>
      <c r="B36" s="17" t="s">
        <v>189</v>
      </c>
      <c r="C36" s="32"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0</v>
      </c>
      <c r="D37" s="32">
        <f>D11+D13+D24+D30</f>
        <v>0</v>
      </c>
      <c r="E37" s="7" t="str">
        <f t="shared" si="0"/>
        <v>-</v>
      </c>
      <c r="F37" s="40" t="str">
        <f t="shared" si="1"/>
        <v>-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220067</v>
      </c>
      <c r="D38" s="87">
        <f>D39+D40+D41+D49+D51+D57+D58+D56</f>
        <v>220067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v>5208</v>
      </c>
      <c r="D39" s="33">
        <f>C39</f>
        <v>5208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v>106612</v>
      </c>
      <c r="D40" s="33">
        <f t="shared" ref="D40:D58" si="3">C40</f>
        <v>106612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728</v>
      </c>
      <c r="D41" s="33">
        <f>D42+D44+D45+D46+D47+D48</f>
        <v>728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v>100</v>
      </c>
      <c r="D42" s="33">
        <f t="shared" si="3"/>
        <v>100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v>100</v>
      </c>
      <c r="D43" s="33">
        <f t="shared" si="3"/>
        <v>100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v>94</v>
      </c>
      <c r="D44" s="33">
        <f t="shared" si="3"/>
        <v>94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v>17</v>
      </c>
      <c r="D45" s="33">
        <f t="shared" si="3"/>
        <v>17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42</v>
      </c>
      <c r="B46" s="46" t="s">
        <v>35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v>402</v>
      </c>
      <c r="D47" s="33">
        <f t="shared" si="3"/>
        <v>402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v>115</v>
      </c>
      <c r="D48" s="33">
        <f t="shared" si="3"/>
        <v>115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v>36255</v>
      </c>
      <c r="D49" s="33">
        <f t="shared" si="3"/>
        <v>36255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v>526</v>
      </c>
      <c r="D50" s="33">
        <f t="shared" si="3"/>
        <v>526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9004</v>
      </c>
      <c r="D51" s="29">
        <f>D52+D53+D54+D55</f>
        <v>9004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v>6237</v>
      </c>
      <c r="D52" s="33">
        <f t="shared" si="3"/>
        <v>6237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v>889</v>
      </c>
      <c r="D53" s="33">
        <f t="shared" si="3"/>
        <v>889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v>1878</v>
      </c>
      <c r="D55" s="33">
        <f t="shared" si="3"/>
        <v>1878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v>50</v>
      </c>
      <c r="D56" s="33">
        <f t="shared" si="3"/>
        <v>50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26</v>
      </c>
      <c r="B57" s="18" t="s">
        <v>160</v>
      </c>
      <c r="C57" s="31">
        <v>60022</v>
      </c>
      <c r="D57" s="33">
        <f t="shared" si="3"/>
        <v>60022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v>2188</v>
      </c>
      <c r="D58" s="33">
        <f t="shared" si="3"/>
        <v>2188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66174</v>
      </c>
      <c r="D59" s="107">
        <f>D60+D61+D62+D63</f>
        <v>81147</v>
      </c>
      <c r="E59" s="83">
        <f t="shared" si="0"/>
        <v>14973</v>
      </c>
      <c r="F59" s="108">
        <f t="shared" si="1"/>
        <v>1.2262999999999999</v>
      </c>
    </row>
    <row r="60" spans="1:6" ht="42" customHeight="1" x14ac:dyDescent="0.2">
      <c r="A60" s="51" t="s">
        <v>100</v>
      </c>
      <c r="B60" s="18" t="s">
        <v>113</v>
      </c>
      <c r="C60" s="31">
        <v>625</v>
      </c>
      <c r="D60" s="33">
        <f>C60-162</f>
        <v>463</v>
      </c>
      <c r="E60" s="29">
        <f t="shared" si="0"/>
        <v>-162</v>
      </c>
      <c r="F60" s="39">
        <f t="shared" si="1"/>
        <v>0.74080000000000001</v>
      </c>
    </row>
    <row r="61" spans="1:6" ht="31.5" customHeight="1" x14ac:dyDescent="0.2">
      <c r="A61" s="51" t="s">
        <v>29</v>
      </c>
      <c r="B61" s="18" t="s">
        <v>54</v>
      </c>
      <c r="C61" s="31">
        <v>1182</v>
      </c>
      <c r="D61" s="33">
        <f>C61</f>
        <v>1182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30</v>
      </c>
      <c r="B62" s="18" t="s">
        <v>102</v>
      </c>
      <c r="C62" s="31">
        <v>64045</v>
      </c>
      <c r="D62" s="33">
        <f>C62-64045</f>
        <v>0</v>
      </c>
      <c r="E62" s="29">
        <f t="shared" si="0"/>
        <v>-64045</v>
      </c>
      <c r="F62" s="39">
        <f t="shared" si="1"/>
        <v>0</v>
      </c>
    </row>
    <row r="63" spans="1:6" ht="31.5" customHeight="1" x14ac:dyDescent="0.2">
      <c r="A63" s="51" t="s">
        <v>101</v>
      </c>
      <c r="B63" s="18" t="s">
        <v>103</v>
      </c>
      <c r="C63" s="31">
        <v>322</v>
      </c>
      <c r="D63" s="33">
        <f>C63+79180</f>
        <v>79502</v>
      </c>
      <c r="E63" s="29">
        <f t="shared" si="0"/>
        <v>79180</v>
      </c>
      <c r="F63" s="39">
        <f t="shared" si="1"/>
        <v>246.9006</v>
      </c>
    </row>
    <row r="64" spans="1:6" ht="32.25" customHeight="1" x14ac:dyDescent="0.2">
      <c r="A64" s="94" t="s">
        <v>135</v>
      </c>
      <c r="B64" s="95" t="s">
        <v>114</v>
      </c>
      <c r="C64" s="107">
        <v>30182</v>
      </c>
      <c r="D64" s="107">
        <f>C64-10000</f>
        <v>20182</v>
      </c>
      <c r="E64" s="83">
        <f t="shared" si="0"/>
        <v>-10000</v>
      </c>
      <c r="F64" s="108">
        <f t="shared" si="1"/>
        <v>0.66869999999999996</v>
      </c>
    </row>
    <row r="70" spans="3:3" x14ac:dyDescent="0.2">
      <c r="C70" s="34"/>
    </row>
  </sheetData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showGridLines="0" view="pageBreakPreview" zoomScale="55" zoomScaleNormal="60" zoomScaleSheetLayoutView="55" workbookViewId="0">
      <pane xSplit="2" ySplit="6" topLeftCell="C7" activePane="bottomRight" state="frozen"/>
      <selection activeCell="B56" sqref="B56"/>
      <selection pane="topRight" activeCell="B56" sqref="B56"/>
      <selection pane="bottomLeft" activeCell="B56" sqref="B56"/>
      <selection pane="bottomRight" sqref="A1:F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168</v>
      </c>
      <c r="B2" s="67"/>
      <c r="C2" s="67"/>
    </row>
    <row r="3" spans="1:6" ht="33" customHeight="1" x14ac:dyDescent="0.25">
      <c r="A3" s="4"/>
      <c r="B3" s="5"/>
      <c r="C3" s="35"/>
      <c r="D3" s="43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70093186</v>
      </c>
      <c r="D6" s="102">
        <f>D7+D8+D9+D14+D15+D16+D17+D18+D19+D20+D21+D22+D23+D24+D28+D29+D31+D32+D33</f>
        <v>70093186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f>Dolnośląski!C7+KujawskoPomorski!C7+Lubelski!C7+Lubuski!C7+Łódzki!C7+Małopolski!C7+Mazowiecki!C7+Opolski!C7+Podkarpacki!C7+Podlaski!C7+Pomorski!C7+Śląski!C7+Świętokrzyski!C7+WarmińskoMazurski!C7+Wielkopolski!C7+Zachodniopomorski!C7</f>
        <v>9465686</v>
      </c>
      <c r="D7" s="13">
        <f>Dolnośląski!D7+KujawskoPomorski!D7+Lubelski!D7+Lubuski!D7+Łódzki!D7+Małopolski!D7+Mazowiecki!D7+Opolski!D7+Podkarpacki!D7+Podlaski!D7+Pomorski!D7+Śląski!D7+Świętokrzyski!D7+WarmińskoMazurski!D7+Wielkopolski!D7+Zachodniopomorski!D7</f>
        <v>9465686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Dolnośląski!C8+KujawskoPomorski!C8+Lubelski!C8+Lubuski!C8+Łódzki!C8+Małopolski!C8+Mazowiecki!C8+Opolski!C8+Podkarpacki!C8+Podlaski!C8+Pomorski!C8+Śląski!C8+Świętokrzyski!C8+WarmińskoMazurski!C8+Wielkopolski!C8+Zachodniopomorski!C8</f>
        <v>5749505</v>
      </c>
      <c r="D8" s="13">
        <f>Dolnośląski!D8+KujawskoPomorski!D8+Lubelski!D8+Lubuski!D8+Łódzki!D8+Małopolski!D8+Mazowiecki!D8+Opolski!D8+Podkarpacki!D8+Podlaski!D8+Pomorski!D8+Śląski!D8+Świętokrzyski!D8+WarmińskoMazurski!D8+Wielkopolski!D8+Zachodniopomorski!D8</f>
        <v>5749505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Dolnośląski!C9+KujawskoPomorski!C9+Lubelski!C9+Lubuski!C9+Łódzki!C9+Małopolski!C9+Mazowiecki!C9+Opolski!C9+Podkarpacki!C9+Podlaski!C9+Pomorski!C9+Śląski!C9+Świętokrzyski!C9+WarmińskoMazurski!C9+Wielkopolski!C9+Zachodniopomorski!C9</f>
        <v>34379582</v>
      </c>
      <c r="D9" s="13">
        <f>Dolnośląski!D9+KujawskoPomorski!D9+Lubelski!D9+Lubuski!D9+Łódzki!D9+Małopolski!D9+Mazowiecki!D9+Opolski!D9+Podkarpacki!D9+Podlaski!D9+Pomorski!D9+Śląski!D9+Świętokrzyski!D9+WarmińskoMazurski!D9+Wielkopolski!D9+Zachodniopomorski!D9</f>
        <v>34379582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f>Dolnośląski!C10+KujawskoPomorski!C10+Lubelski!C10+Lubuski!C10+Łódzki!C10+Małopolski!C10+Mazowiecki!C10+Opolski!C10+Podkarpacki!C10+Podlaski!C10+Pomorski!C10+Śląski!C10+Świętokrzyski!C10+WarmińskoMazurski!C10+Wielkopolski!C10+Zachodniopomorski!C10</f>
        <v>3270118</v>
      </c>
      <c r="D10" s="13">
        <f>Dolnośląski!D10+KujawskoPomorski!D10+Lubelski!D10+Lubuski!D10+Łódzki!D10+Małopolski!D10+Mazowiecki!D10+Opolski!D10+Podkarpacki!D10+Podlaski!D10+Pomorski!D10+Śląski!D10+Świętokrzyski!D10+WarmińskoMazurski!D10+Wielkopolski!D10+Zachodniopomorski!D10</f>
        <v>3270118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Dolnośląski!C11+KujawskoPomorski!C11+Lubelski!C11+Lubuski!C11+Łódzki!C11+Małopolski!C11+Mazowiecki!C11+Opolski!C11+Podkarpacki!C11+Podlaski!C11+Pomorski!C11+Śląski!C11+Świętokrzyski!C11+WarmińskoMazurski!C11+Wielkopolski!C11+Zachodniopomorski!C11</f>
        <v>2979758</v>
      </c>
      <c r="D11" s="13">
        <f>Dolnośląski!D11+KujawskoPomorski!D11+Lubelski!D11+Lubuski!D11+Łódzki!D11+Małopolski!D11+Mazowiecki!D11+Opolski!D11+Podkarpacki!D11+Podlaski!D11+Pomorski!D11+Śląski!D11+Świętokrzyski!D11+WarmińskoMazurski!D11+Wielkopolski!D11+Zachodniopomorski!D11</f>
        <v>2979758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Dolnośląski!C12+KujawskoPomorski!C12+Lubelski!C12+Lubuski!C12+Łódzki!C12+Małopolski!C12+Mazowiecki!C12+Opolski!C12+Podkarpacki!C12+Podlaski!C12+Pomorski!C12+Śląski!C12+Świętokrzyski!C12+WarmińskoMazurski!C12+Wielkopolski!C12+Zachodniopomorski!C12</f>
        <v>1425552</v>
      </c>
      <c r="D12" s="13">
        <f>Dolnośląski!D12+KujawskoPomorski!D12+Lubelski!D12+Lubuski!D12+Łódzki!D12+Małopolski!D12+Mazowiecki!D12+Opolski!D12+Podkarpacki!D12+Podlaski!D12+Pomorski!D12+Śląski!D12+Świętokrzyski!D12+WarmińskoMazurski!D12+Wielkopolski!D12+Zachodniopomorski!D12</f>
        <v>1425552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Dolnośląski!C13+KujawskoPomorski!C13+Lubelski!C13+Lubuski!C13+Łódzki!C13+Małopolski!C13+Mazowiecki!C13+Opolski!C13+Podkarpacki!C13+Podlaski!C13+Pomorski!C13+Śląski!C13+Świętokrzyski!C13+WarmińskoMazurski!C13+Wielkopolski!C13+Zachodniopomorski!C13</f>
        <v>659948</v>
      </c>
      <c r="D13" s="13">
        <f>Dolnośląski!D13+KujawskoPomorski!D13+Lubelski!D13+Lubuski!D13+Łódzki!D13+Małopolski!D13+Mazowiecki!D13+Opolski!D13+Podkarpacki!D13+Podlaski!D13+Pomorski!D13+Śląski!D13+Świętokrzyski!D13+WarmińskoMazurski!D13+Wielkopolski!D13+Zachodniopomorski!D13</f>
        <v>659948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Dolnośląski!C14+KujawskoPomorski!C14+Lubelski!C14+Lubuski!C14+Łódzki!C14+Małopolski!C14+Mazowiecki!C14+Opolski!C14+Podkarpacki!C14+Podlaski!C14+Pomorski!C14+Śląski!C14+Świętokrzyski!C14+WarmińskoMazurski!C14+Wielkopolski!C14+Zachodniopomorski!C14</f>
        <v>2494456</v>
      </c>
      <c r="D14" s="13">
        <f>Dolnośląski!D14+KujawskoPomorski!D14+Lubelski!D14+Lubuski!D14+Łódzki!D14+Małopolski!D14+Mazowiecki!D14+Opolski!D14+Podkarpacki!D14+Podlaski!D14+Pomorski!D14+Śląski!D14+Świętokrzyski!D14+WarmińskoMazurski!D14+Wielkopolski!D14+Zachodniopomorski!D14</f>
        <v>2494456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Dolnośląski!C15+KujawskoPomorski!C15+Lubelski!C15+Lubuski!C15+Łódzki!C15+Małopolski!C15+Mazowiecki!C15+Opolski!C15+Podkarpacki!C15+Podlaski!C15+Pomorski!C15+Śląski!C15+Świętokrzyski!C15+WarmińskoMazurski!C15+Wielkopolski!C15+Zachodniopomorski!C15</f>
        <v>2222847</v>
      </c>
      <c r="D15" s="13">
        <f>Dolnośląski!D15+KujawskoPomorski!D15+Lubelski!D15+Lubuski!D15+Łódzki!D15+Małopolski!D15+Mazowiecki!D15+Opolski!D15+Podkarpacki!D15+Podlaski!D15+Pomorski!D15+Śląski!D15+Świętokrzyski!D15+WarmińskoMazurski!D15+Wielkopolski!D15+Zachodniopomorski!D15</f>
        <v>2222847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Dolnośląski!C16+KujawskoPomorski!C16+Lubelski!C16+Lubuski!C16+Łódzki!C16+Małopolski!C16+Mazowiecki!C16+Opolski!C16+Podkarpacki!C16+Podlaski!C16+Pomorski!C16+Śląski!C16+Świętokrzyski!C16+WarmińskoMazurski!C16+Wielkopolski!C16+Zachodniopomorski!C16</f>
        <v>1291868</v>
      </c>
      <c r="D16" s="13">
        <f>Dolnośląski!D16+KujawskoPomorski!D16+Lubelski!D16+Lubuski!D16+Łódzki!D16+Małopolski!D16+Mazowiecki!D16+Opolski!D16+Podkarpacki!D16+Podlaski!D16+Pomorski!D16+Śląski!D16+Świętokrzyski!D16+WarmińskoMazurski!D16+Wielkopolski!D16+Zachodniopomorski!D16</f>
        <v>1291868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Dolnośląski!C17+KujawskoPomorski!C17+Lubelski!C17+Lubuski!C17+Łódzki!C17+Małopolski!C17+Mazowiecki!C17+Opolski!C17+Podkarpacki!C17+Podlaski!C17+Pomorski!C17+Śląski!C17+Świętokrzyski!C17+WarmińskoMazurski!C17+Wielkopolski!C17+Zachodniopomorski!C17</f>
        <v>455583</v>
      </c>
      <c r="D17" s="13">
        <f>Dolnośląski!D17+KujawskoPomorski!D17+Lubelski!D17+Lubuski!D17+Łódzki!D17+Małopolski!D17+Mazowiecki!D17+Opolski!D17+Podkarpacki!D17+Podlaski!D17+Pomorski!D17+Śląski!D17+Świętokrzyski!D17+WarmińskoMazurski!D17+Wielkopolski!D17+Zachodniopomorski!D17</f>
        <v>455583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Dolnośląski!C18+KujawskoPomorski!C18+Lubelski!C18+Lubuski!C18+Łódzki!C18+Małopolski!C18+Mazowiecki!C18+Opolski!C18+Podkarpacki!C18+Podlaski!C18+Pomorski!C18+Śląski!C18+Świętokrzyski!C18+WarmińskoMazurski!C18+Wielkopolski!C18+Zachodniopomorski!C18</f>
        <v>1820715</v>
      </c>
      <c r="D18" s="13">
        <f>Dolnośląski!D18+KujawskoPomorski!D18+Lubelski!D18+Lubuski!D18+Łódzki!D18+Małopolski!D18+Mazowiecki!D18+Opolski!D18+Podkarpacki!D18+Podlaski!D18+Pomorski!D18+Śląski!D18+Świętokrzyski!D18+WarmińskoMazurski!D18+Wielkopolski!D18+Zachodniopomorski!D18</f>
        <v>1820715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Dolnośląski!C19+KujawskoPomorski!C19+Lubelski!C19+Lubuski!C19+Łódzki!C19+Małopolski!C19+Mazowiecki!C19+Opolski!C19+Podkarpacki!C19+Podlaski!C19+Pomorski!C19+Śląski!C19+Świętokrzyski!C19+WarmińskoMazurski!C19+Wielkopolski!C19+Zachodniopomorski!C19</f>
        <v>648357</v>
      </c>
      <c r="D19" s="13">
        <f>Dolnośląski!D19+KujawskoPomorski!D19+Lubelski!D19+Lubuski!D19+Łódzki!D19+Małopolski!D19+Mazowiecki!D19+Opolski!D19+Podkarpacki!D19+Podlaski!D19+Pomorski!D19+Śląski!D19+Świętokrzyski!D19+WarmińskoMazurski!D19+Wielkopolski!D19+Zachodniopomorski!D19</f>
        <v>648357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Dolnośląski!C20+KujawskoPomorski!C20+Lubelski!C20+Lubuski!C20+Łódzki!C20+Małopolski!C20+Mazowiecki!C20+Opolski!C20+Podkarpacki!C20+Podlaski!C20+Pomorski!C20+Śląski!C20+Świętokrzyski!C20+WarmińskoMazurski!C20+Wielkopolski!C20+Zachodniopomorski!C20</f>
        <v>46699</v>
      </c>
      <c r="D20" s="13">
        <f>Dolnośląski!D20+KujawskoPomorski!D20+Lubelski!D20+Lubuski!D20+Łódzki!D20+Małopolski!D20+Mazowiecki!D20+Opolski!D20+Podkarpacki!D20+Podlaski!D20+Pomorski!D20+Śląski!D20+Świętokrzyski!D20+WarmińskoMazurski!D20+Wielkopolski!D20+Zachodniopomorski!D20</f>
        <v>46699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Dolnośląski!C21+KujawskoPomorski!C21+Lubelski!C21+Lubuski!C21+Łódzki!C21+Małopolski!C21+Mazowiecki!C21+Opolski!C21+Podkarpacki!C21+Podlaski!C21+Pomorski!C21+Śląski!C21+Świętokrzyski!C21+WarmińskoMazurski!C21+Wielkopolski!C21+Zachodniopomorski!C21</f>
        <v>183294</v>
      </c>
      <c r="D21" s="13">
        <f>Dolnośląski!D21+KujawskoPomorski!D21+Lubelski!D21+Lubuski!D21+Łódzki!D21+Małopolski!D21+Mazowiecki!D21+Opolski!D21+Podkarpacki!D21+Podlaski!D21+Pomorski!D21+Śląski!D21+Świętokrzyski!D21+WarmińskoMazurski!D21+Wielkopolski!D21+Zachodniopomorski!D21</f>
        <v>183294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Dolnośląski!C22+KujawskoPomorski!C22+Lubelski!C22+Lubuski!C22+Łódzki!C22+Małopolski!C22+Mazowiecki!C22+Opolski!C22+Podkarpacki!C22+Podlaski!C22+Pomorski!C22+Śląski!C22+Świętokrzyski!C22+WarmińskoMazurski!C22+Wielkopolski!C22+Zachodniopomorski!C22</f>
        <v>1935478</v>
      </c>
      <c r="D22" s="13">
        <f>Dolnośląski!D22+KujawskoPomorski!D22+Lubelski!D22+Lubuski!D22+Łódzki!D22+Małopolski!D22+Mazowiecki!D22+Opolski!D22+Podkarpacki!D22+Podlaski!D22+Pomorski!D22+Śląski!D22+Świętokrzyski!D22+WarmińskoMazurski!D22+Wielkopolski!D22+Zachodniopomorski!D22</f>
        <v>1935478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Dolnośląski!C23+KujawskoPomorski!C23+Lubelski!C23+Lubuski!C23+Łódzki!C23+Małopolski!C23+Mazowiecki!C23+Opolski!C23+Podkarpacki!C23+Podlaski!C23+Pomorski!C23+Śląski!C23+Świętokrzyski!C23+WarmińskoMazurski!C23+Wielkopolski!C23+Zachodniopomorski!C23</f>
        <v>929044</v>
      </c>
      <c r="D23" s="13">
        <f>Dolnośląski!D23+KujawskoPomorski!D23+Lubelski!D23+Lubuski!D23+Łódzki!D23+Małopolski!D23+Mazowiecki!D23+Opolski!D23+Podkarpacki!D23+Podlaski!D23+Pomorski!D23+Śląski!D23+Świętokrzyski!D23+WarmińskoMazurski!D23+Wielkopolski!D23+Zachodniopomorski!D23</f>
        <v>929044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Dolnośląski!C24+KujawskoPomorski!C24+Lubelski!C24+Lubuski!C24+Łódzki!C24+Małopolski!C24+Mazowiecki!C24+Opolski!C24+Podkarpacki!C24+Podlaski!C24+Pomorski!C24+Śląski!C24+Świętokrzyski!C24+WarmińskoMazurski!C24+Wielkopolski!C24+Zachodniopomorski!C24</f>
        <v>8181865</v>
      </c>
      <c r="D24" s="31">
        <f>Dolnośląski!D24+KujawskoPomorski!D24+Lubelski!D24+Lubuski!D24+Łódzki!D24+Małopolski!D24+Mazowiecki!D24+Opolski!D24+Podkarpacki!D24+Podlaski!D24+Pomorski!D24+Śląski!D24+Świętokrzyski!D24+WarmińskoMazurski!D24+Wielkopolski!D24+Zachodniopomorski!D24</f>
        <v>8181865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Dolnośląski!C25+KujawskoPomorski!C25+Lubelski!C25+Lubuski!C25+Łódzki!C25+Małopolski!C25+Mazowiecki!C25+Opolski!C25+Podkarpacki!C25+Podlaski!C25+Pomorski!C25+Śląski!C25+Świętokrzyski!C25+WarmińskoMazurski!C25+Wielkopolski!C25+Zachodniopomorski!C25</f>
        <v>8150761</v>
      </c>
      <c r="D25" s="13">
        <f>Dolnośląski!D25+KujawskoPomorski!D25+Lubelski!D25+Lubuski!D25+Łódzki!D25+Małopolski!D25+Mazowiecki!D25+Opolski!D25+Podkarpacki!D25+Podlaski!D25+Pomorski!D25+Śląski!D25+Świętokrzyski!D25+WarmińskoMazurski!D25+Wielkopolski!D25+Zachodniopomorski!D25</f>
        <v>8150761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Dolnośląski!C26+KujawskoPomorski!C26+Lubelski!C26+Lubuski!C26+Łódzki!C26+Małopolski!C26+Mazowiecki!C26+Opolski!C26+Podkarpacki!C26+Podlaski!C26+Pomorski!C26+Śląski!C26+Świętokrzyski!C26+WarmińskoMazurski!C26+Wielkopolski!C26+Zachodniopomorski!C26</f>
        <v>19388</v>
      </c>
      <c r="D26" s="13">
        <f>Dolnośląski!D26+KujawskoPomorski!D26+Lubelski!D26+Lubuski!D26+Łódzki!D26+Małopolski!D26+Mazowiecki!D26+Opolski!D26+Podkarpacki!D26+Podlaski!D26+Pomorski!D26+Śląski!D26+Świętokrzyski!D26+WarmińskoMazurski!D26+Wielkopolski!D26+Zachodniopomorski!D26</f>
        <v>19388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Dolnośląski!C27+KujawskoPomorski!C27+Lubelski!C27+Lubuski!C27+Łódzki!C27+Małopolski!C27+Mazowiecki!C27+Opolski!C27+Podkarpacki!C27+Podlaski!C27+Pomorski!C27+Śląski!C27+Świętokrzyski!C27+WarmińskoMazurski!C27+Wielkopolski!C27+Zachodniopomorski!C27</f>
        <v>11716</v>
      </c>
      <c r="D27" s="13">
        <f>Dolnośląski!D27+KujawskoPomorski!D27+Lubelski!D27+Lubuski!D27+Łódzki!D27+Małopolski!D27+Mazowiecki!D27+Opolski!D27+Podkarpacki!D27+Podlaski!D27+Pomorski!D27+Śląski!D27+Świętokrzyski!D27+WarmińskoMazurski!D27+Wielkopolski!D27+Zachodniopomorski!D27</f>
        <v>11716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Dolnośląski!C28+KujawskoPomorski!C28+Lubelski!C28+Lubuski!C28+Łódzki!C28+Małopolski!C28+Mazowiecki!C28+Opolski!C28+Podkarpacki!C28+Podlaski!C28+Pomorski!C28+Śląski!C28+Świętokrzyski!C28+WarmińskoMazurski!C28+Wielkopolski!C28+Zachodniopomorski!C28</f>
        <v>0</v>
      </c>
      <c r="D28" s="13">
        <f>Dolnośląski!D28+KujawskoPomorski!D28+Lubelski!D28+Lubuski!D28+Łódzki!D28+Małopolski!D28+Mazowiecki!D28+Opolski!D28+Podkarpacki!D28+Podlaski!D28+Pomorski!D28+Śląski!D28+Świętokrzyski!D28+WarmińskoMazurski!D28+Wielkopolski!D28+Zachodniopomorski!D28</f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Dolnośląski!C29+KujawskoPomorski!C29+Lubelski!C29+Lubuski!C29+Łódzki!C29+Małopolski!C29+Mazowiecki!C29+Opolski!C29+Podkarpacki!C29+Podlaski!C29+Pomorski!C29+Śląski!C29+Świętokrzyski!C29+WarmińskoMazurski!C29+Wielkopolski!C29+Zachodniopomorski!C29</f>
        <v>0</v>
      </c>
      <c r="D29" s="13">
        <f>Dolnośląski!D29+KujawskoPomorski!D29+Lubelski!D29+Lubuski!D29+Łódzki!D29+Małopolski!D29+Mazowiecki!D29+Opolski!D29+Podkarpacki!D29+Podlaski!D29+Pomorski!D29+Śląski!D29+Świętokrzyski!D29+WarmińskoMazurski!D29+Wielkopolski!D29+Zachodniopomorski!D29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Dolnośląski!C30+KujawskoPomorski!C30+Lubelski!C30+Lubuski!C30+Łódzki!C30+Małopolski!C30+Mazowiecki!C30+Opolski!C30+Podkarpacki!C30+Podlaski!C30+Pomorski!C30+Śląski!C30+Świętokrzyski!C30+WarmińskoMazurski!C30+Wielkopolski!C30+Zachodniopomorski!C30</f>
        <v>0</v>
      </c>
      <c r="D30" s="13">
        <f>Dolnośląski!D30+KujawskoPomorski!D30+Lubelski!D30+Lubuski!D30+Łódzki!D30+Małopolski!D30+Mazowiecki!D30+Opolski!D30+Podkarpacki!D30+Podlaski!D30+Pomorski!D30+Śląski!D30+Świętokrzyski!D30+WarmińskoMazurski!D30+Wielkopolski!D30+Zachodniopomorski!D30</f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Dolnośląski!C31+KujawskoPomorski!C31+Lubelski!C31+Lubuski!C31+Łódzki!C31+Małopolski!C31+Mazowiecki!C31+Opolski!C31+Podkarpacki!C31+Podlaski!C31+Pomorski!C31+Śląski!C31+Świętokrzyski!C31+WarmińskoMazurski!C31+Wielkopolski!C31+Zachodniopomorski!C31</f>
        <v>0</v>
      </c>
      <c r="D31" s="13">
        <f>Dolnośląski!D31+KujawskoPomorski!D31+Lubelski!D31+Lubuski!D31+Łódzki!D31+Małopolski!D31+Mazowiecki!D31+Opolski!D31+Podkarpacki!D31+Podlaski!D31+Pomorski!D31+Śląski!D31+Świętokrzyski!D31+WarmińskoMazurski!D31+Wielkopolski!D31+Zachodniopomorski!D31</f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Dolnośląski!C32+KujawskoPomorski!C32+Lubelski!C32+Lubuski!C32+Łódzki!C32+Małopolski!C32+Mazowiecki!C32+Opolski!C32+Podkarpacki!C32+Podlaski!C32+Pomorski!C32+Śląski!C32+Świętokrzyski!C32+WarmińskoMazurski!C32+Wielkopolski!C32+Zachodniopomorski!C32</f>
        <v>288207</v>
      </c>
      <c r="D32" s="13">
        <f>Dolnośląski!D32+KujawskoPomorski!D32+Lubelski!D32+Lubuski!D32+Łódzki!D32+Małopolski!D32+Mazowiecki!D32+Opolski!D32+Podkarpacki!D32+Podlaski!D32+Pomorski!D32+Śląski!D32+Świętokrzyski!D32+WarmińskoMazurski!D32+Wielkopolski!D32+Zachodniopomorski!D32</f>
        <v>288207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Dolnośląski!C33+KujawskoPomorski!C33+Lubelski!C33+Lubuski!C33+Łódzki!C33+Małopolski!C33+Mazowiecki!C33+Opolski!C33+Podkarpacki!C33+Podlaski!C33+Pomorski!C33+Śląski!C33+Świętokrzyski!C33+WarmińskoMazurski!C33+Wielkopolski!C33+Zachodniopomorski!C33</f>
        <v>0</v>
      </c>
      <c r="D33" s="13">
        <f>Dolnośląski!D33+KujawskoPomorski!D33+Lubelski!D33+Lubuski!D33+Łódzki!D33+Małopolski!D33+Mazowiecki!D33+Opolski!D33+Podkarpacki!D33+Podlaski!D33+Pomorski!D33+Śląski!D33+Świętokrzyski!D33+WarmińskoMazurski!D33+Wielkopolski!D33+Zachodniopomorski!D33</f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7">
        <f>Dolnośląski!C34+KujawskoPomorski!C34+Lubelski!C34+Lubuski!C34+Łódzki!C34+Małopolski!C34+Mazowiecki!C34+Opolski!C34+Podkarpacki!C34+Podlaski!C34+Pomorski!C34+Śląski!C34+Świętokrzyski!C34+WarmińskoMazurski!C34+Wielkopolski!C34+Zachodniopomorski!C34</f>
        <v>0</v>
      </c>
      <c r="D34" s="37">
        <f>Dolnośląski!D34+KujawskoPomorski!D34+Lubelski!D34+Lubuski!D34+Łódzki!D34+Małopolski!D34+Mazowiecki!D34+Opolski!D34+Podkarpacki!D34+Podlaski!D34+Pomorski!D34+Śląski!D34+Świętokrzyski!D34+WarmińskoMazurski!D34+Wielkopolski!D34+Zachodniopomorski!D34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7">
        <f>Dolnośląski!C35+KujawskoPomorski!C35+Lubelski!C35+Lubuski!C35+Łódzki!C35+Małopolski!C35+Mazowiecki!C35+Opolski!C35+Podkarpacki!C35+Podlaski!C35+Pomorski!C35+Śląski!C35+Świętokrzyski!C35+WarmińskoMazurski!C35+Wielkopolski!C35+Zachodniopomorski!C35</f>
        <v>1870561</v>
      </c>
      <c r="D35" s="37">
        <f>Dolnośląski!D35+KujawskoPomorski!D35+Lubelski!D35+Lubuski!D35+Łódzki!D35+Małopolski!D35+Mazowiecki!D35+Opolski!D35+Podkarpacki!D35+Podlaski!D35+Pomorski!D35+Śląski!D35+Świętokrzyski!D35+WarmińskoMazurski!D35+Wielkopolski!D35+Zachodniopomorski!D35</f>
        <v>1870561</v>
      </c>
      <c r="E35" s="7" t="str">
        <f t="shared" si="0"/>
        <v>-</v>
      </c>
      <c r="F35" s="40">
        <f t="shared" si="1"/>
        <v>1</v>
      </c>
    </row>
    <row r="36" spans="1:6" s="2" customFormat="1" ht="40.5" x14ac:dyDescent="0.2">
      <c r="A36" s="52" t="s">
        <v>188</v>
      </c>
      <c r="B36" s="17" t="s">
        <v>189</v>
      </c>
      <c r="C36" s="37">
        <f>Dolnośląski!C36+KujawskoPomorski!C36+Lubelski!C36+Lubuski!C36+Łódzki!C36+Małopolski!C36+Mazowiecki!C36+Opolski!C36+Podkarpacki!C36+Podlaski!C36+Pomorski!C36+Śląski!C36+Świętokrzyski!C36+WarmińskoMazurski!C36+Wielkopolski!C36+Zachodniopomorski!C36</f>
        <v>125000</v>
      </c>
      <c r="D36" s="37">
        <f>Dolnośląski!D36+KujawskoPomorski!D36+Lubelski!D36+Lubuski!D36+Łódzki!D36+Małopolski!D36+Mazowiecki!D36+Opolski!D36+Podkarpacki!D36+Podlaski!D36+Pomorski!D36+Śląski!D36+Świętokrzyski!D36+WarmińskoMazurski!D36+Wielkopolski!D36+Zachodniopomorski!D36</f>
        <v>125000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Dolnośląski!C37+KujawskoPomorski!C37+Lubelski!C37+Lubuski!C37+Łódzki!C37+Małopolski!C37+Mazowiecki!C37+Opolski!C37+Podkarpacki!C37+Podlaski!C37+Pomorski!C37+Śląski!C37+Świętokrzyski!C37+WarmińskoMazurski!C37+Wielkopolski!C37+Zachodniopomorski!C37</f>
        <v>11821571</v>
      </c>
      <c r="D37" s="32">
        <f>Dolnośląski!D37+KujawskoPomorski!D37+Lubelski!D37+Lubuski!D37+Łódzki!D37+Małopolski!D37+Mazowiecki!D37+Opolski!D37+Podkarpacki!D37+Podlaski!D37+Pomorski!D37+Śląski!D37+Świętokrzyski!D37+WarmińskoMazurski!D37+Wielkopolski!D37+Zachodniopomorski!D37</f>
        <v>11821571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517355</v>
      </c>
      <c r="D38" s="87">
        <f>D39+D40+D41+D49+D51+D57+D58+D56</f>
        <v>517355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f>Dolnośląski!C39+KujawskoPomorski!C39+Lubelski!C39+Lubuski!C39+Łódzki!C39+Małopolski!C39+Mazowiecki!C39+Opolski!C39+Podkarpacki!C39+Podlaski!C39+Pomorski!C39+Śląski!C39+Świętokrzyski!C39+WarmińskoMazurski!C39+Wielkopolski!C39+Zachodniopomorski!C39</f>
        <v>20883</v>
      </c>
      <c r="D39" s="33">
        <f>Dolnośląski!D39+KujawskoPomorski!D39+Lubelski!D39+Lubuski!D39+Łódzki!D39+Małopolski!D39+Mazowiecki!D39+Opolski!D39+Podkarpacki!D39+Podlaski!D39+Pomorski!D39+Śląski!D39+Świętokrzyski!D39+WarmińskoMazurski!D39+Wielkopolski!D39+Zachodniopomorski!D39</f>
        <v>20883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f>Dolnośląski!C40+KujawskoPomorski!C40+Lubelski!C40+Lubuski!C40+Łódzki!C40+Małopolski!C40+Mazowiecki!C40+Opolski!C40+Podkarpacki!C40+Podlaski!C40+Pomorski!C40+Śląski!C40+Świętokrzyski!C40+WarmińskoMazurski!C40+Wielkopolski!C40+Zachodniopomorski!C40</f>
        <v>66574</v>
      </c>
      <c r="D40" s="33">
        <f>Dolnośląski!D40+KujawskoPomorski!D40+Lubelski!D40+Lubuski!D40+Łódzki!D40+Małopolski!D40+Mazowiecki!D40+Opolski!D40+Podkarpacki!D40+Podlaski!D40+Pomorski!D40+Śląski!D40+Świętokrzyski!D40+WarmińskoMazurski!D40+Wielkopolski!D40+Zachodniopomorski!D40</f>
        <v>66574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3859</v>
      </c>
      <c r="D41" s="33">
        <f>D42+D44+D45+D46+D47+D48</f>
        <v>3859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f>Dolnośląski!C42+KujawskoPomorski!C42+Lubelski!C42+Lubuski!C42+Łódzki!C42+Małopolski!C42+Mazowiecki!C42+Opolski!C42+Podkarpacki!C42+Podlaski!C42+Pomorski!C42+Śląski!C42+Świętokrzyski!C42+WarmińskoMazurski!C42+Wielkopolski!C42+Zachodniopomorski!C42</f>
        <v>519</v>
      </c>
      <c r="D42" s="33">
        <f>Dolnośląski!D42+KujawskoPomorski!D42+Lubelski!D42+Lubuski!D42+Łódzki!D42+Małopolski!D42+Mazowiecki!D42+Opolski!D42+Podkarpacki!D42+Podlaski!D42+Pomorski!D42+Śląski!D42+Świętokrzyski!D42+WarmińskoMazurski!D42+Wielkopolski!D42+Zachodniopomorski!D42</f>
        <v>519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f>Dolnośląski!C43+KujawskoPomorski!C43+Lubelski!C43+Lubuski!C43+Łódzki!C43+Małopolski!C43+Mazowiecki!C43+Opolski!C43+Podkarpacki!C43+Podlaski!C43+Pomorski!C43+Śląski!C43+Świętokrzyski!C43+WarmińskoMazurski!C43+Wielkopolski!C43+Zachodniopomorski!C43</f>
        <v>516</v>
      </c>
      <c r="D43" s="33">
        <f>Dolnośląski!D43+KujawskoPomorski!D43+Lubelski!D43+Lubuski!D43+Łódzki!D43+Małopolski!D43+Mazowiecki!D43+Opolski!D43+Podkarpacki!D43+Podlaski!D43+Pomorski!D43+Śląski!D43+Świętokrzyski!D43+WarmińskoMazurski!D43+Wielkopolski!D43+Zachodniopomorski!D43</f>
        <v>516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f>Dolnośląski!C44+KujawskoPomorski!C44+Lubelski!C44+Lubuski!C44+Łódzki!C44+Małopolski!C44+Mazowiecki!C44+Opolski!C44+Podkarpacki!C44+Podlaski!C44+Pomorski!C44+Śląski!C44+Świętokrzyski!C44+WarmińskoMazurski!C44+Wielkopolski!C44+Zachodniopomorski!C44</f>
        <v>559</v>
      </c>
      <c r="D44" s="33">
        <f>Dolnośląski!D44+KujawskoPomorski!D44+Lubelski!D44+Lubuski!D44+Łódzki!D44+Małopolski!D44+Mazowiecki!D44+Opolski!D44+Podkarpacki!D44+Podlaski!D44+Pomorski!D44+Śląski!D44+Świętokrzyski!D44+WarmińskoMazurski!D44+Wielkopolski!D44+Zachodniopomorski!D44</f>
        <v>559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f>Dolnośląski!C45+KujawskoPomorski!C45+Lubelski!C45+Lubuski!C45+Łódzki!C45+Małopolski!C45+Mazowiecki!C45+Opolski!C45+Podkarpacki!C45+Podlaski!C45+Pomorski!C45+Śląski!C45+Świętokrzyski!C45+WarmińskoMazurski!C45+Wielkopolski!C45+Zachodniopomorski!C45</f>
        <v>3</v>
      </c>
      <c r="D45" s="33">
        <f>Dolnośląski!D45+KujawskoPomorski!D45+Lubelski!D45+Lubuski!D45+Łódzki!D45+Małopolski!D45+Mazowiecki!D45+Opolski!D45+Podkarpacki!D45+Podlaski!D45+Pomorski!D45+Śląski!D45+Świętokrzyski!D45+WarmińskoMazurski!D45+Wielkopolski!D45+Zachodniopomorski!D45</f>
        <v>3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42</v>
      </c>
      <c r="B46" s="46" t="s">
        <v>35</v>
      </c>
      <c r="C46" s="31">
        <f>Dolnośląski!C46+KujawskoPomorski!C46+Lubelski!C46+Lubuski!C46+Łódzki!C46+Małopolski!C46+Mazowiecki!C46+Opolski!C46+Podkarpacki!C46+Podlaski!C46+Pomorski!C46+Śląski!C46+Świętokrzyski!C46+WarmińskoMazurski!C46+Wielkopolski!C46+Zachodniopomorski!C46</f>
        <v>0</v>
      </c>
      <c r="D46" s="33">
        <f>Dolnośląski!D46+KujawskoPomorski!D46+Lubelski!D46+Lubuski!D46+Łódzki!D46+Małopolski!D46+Mazowiecki!D46+Opolski!D46+Podkarpacki!D46+Podlaski!D46+Pomorski!D46+Śląski!D46+Świętokrzyski!D46+WarmińskoMazurski!D46+Wielkopolski!D46+Zachodniopomorski!D46</f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f>Dolnośląski!C47+KujawskoPomorski!C47+Lubelski!C47+Lubuski!C47+Łódzki!C47+Małopolski!C47+Mazowiecki!C47+Opolski!C47+Podkarpacki!C47+Podlaski!C47+Pomorski!C47+Śląski!C47+Świętokrzyski!C47+WarmińskoMazurski!C47+Wielkopolski!C47+Zachodniopomorski!C47</f>
        <v>2528</v>
      </c>
      <c r="D47" s="33">
        <f>Dolnośląski!D47+KujawskoPomorski!D47+Lubelski!D47+Lubuski!D47+Łódzki!D47+Małopolski!D47+Mazowiecki!D47+Opolski!D47+Podkarpacki!D47+Podlaski!D47+Pomorski!D47+Śląski!D47+Świętokrzyski!D47+WarmińskoMazurski!D47+Wielkopolski!D47+Zachodniopomorski!D47</f>
        <v>2528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f>Dolnośląski!C48+KujawskoPomorski!C48+Lubelski!C48+Lubuski!C48+Łódzki!C48+Małopolski!C48+Mazowiecki!C48+Opolski!C48+Podkarpacki!C48+Podlaski!C48+Pomorski!C48+Śląski!C48+Świętokrzyski!C48+WarmińskoMazurski!C48+Wielkopolski!C48+Zachodniopomorski!C48</f>
        <v>250</v>
      </c>
      <c r="D48" s="33">
        <f>Dolnośląski!D48+KujawskoPomorski!D48+Lubelski!D48+Lubuski!D48+Łódzki!D48+Małopolski!D48+Mazowiecki!D48+Opolski!D48+Podkarpacki!D48+Podlaski!D48+Pomorski!D48+Śląski!D48+Świętokrzyski!D48+WarmińskoMazurski!D48+Wielkopolski!D48+Zachodniopomorski!D48</f>
        <v>250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f>Dolnośląski!C49+KujawskoPomorski!C49+Lubelski!C49+Lubuski!C49+Łódzki!C49+Małopolski!C49+Mazowiecki!C49+Opolski!C49+Podkarpacki!C49+Podlaski!C49+Pomorski!C49+Śląski!C49+Świętokrzyski!C49+WarmińskoMazurski!C49+Wielkopolski!C49+Zachodniopomorski!C49</f>
        <v>300681</v>
      </c>
      <c r="D49" s="33">
        <f>Dolnośląski!D49+KujawskoPomorski!D49+Lubelski!D49+Lubuski!D49+Łódzki!D49+Małopolski!D49+Mazowiecki!D49+Opolski!D49+Podkarpacki!D49+Podlaski!D49+Pomorski!D49+Śląski!D49+Świętokrzyski!D49+WarmińskoMazurski!D49+Wielkopolski!D49+Zachodniopomorski!D49</f>
        <v>300681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f>Dolnośląski!C50+KujawskoPomorski!C50+Lubelski!C50+Lubuski!C50+Łódzki!C50+Małopolski!C50+Mazowiecki!C50+Opolski!C50+Podkarpacki!C50+Podlaski!C50+Pomorski!C50+Śląski!C50+Świętokrzyski!C50+WarmińskoMazurski!C50+Wielkopolski!C50+Zachodniopomorski!C50</f>
        <v>1080</v>
      </c>
      <c r="D50" s="33">
        <f>Dolnośląski!D50+KujawskoPomorski!D50+Lubelski!D50+Lubuski!D50+Łódzki!D50+Małopolski!D50+Mazowiecki!D50+Opolski!D50+Podkarpacki!D50+Podlaski!D50+Pomorski!D50+Śląski!D50+Świętokrzyski!D50+WarmińskoMazurski!D50+Wielkopolski!D50+Zachodniopomorski!D50</f>
        <v>1080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67114</v>
      </c>
      <c r="D51" s="29">
        <f>D52+D53+D54+D55</f>
        <v>67114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f>Dolnośląski!C52+KujawskoPomorski!C52+Lubelski!C52+Lubuski!C52+Łódzki!C52+Małopolski!C52+Mazowiecki!C52+Opolski!C52+Podkarpacki!C52+Podlaski!C52+Pomorski!C52+Śląski!C52+Świętokrzyski!C52+WarmińskoMazurski!C52+Wielkopolski!C52+Zachodniopomorski!C52</f>
        <v>51473</v>
      </c>
      <c r="D52" s="33">
        <f>Dolnośląski!D52+KujawskoPomorski!D52+Lubelski!D52+Lubuski!D52+Łódzki!D52+Małopolski!D52+Mazowiecki!D52+Opolski!D52+Podkarpacki!D52+Podlaski!D52+Pomorski!D52+Śląski!D52+Świętokrzyski!D52+WarmińskoMazurski!D52+Wielkopolski!D52+Zachodniopomorski!D52</f>
        <v>51473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f>Dolnośląski!C53+KujawskoPomorski!C53+Lubelski!C53+Lubuski!C53+Łódzki!C53+Małopolski!C53+Mazowiecki!C53+Opolski!C53+Podkarpacki!C53+Podlaski!C53+Pomorski!C53+Śląski!C53+Świętokrzyski!C53+WarmińskoMazurski!C53+Wielkopolski!C53+Zachodniopomorski!C53</f>
        <v>7185</v>
      </c>
      <c r="D53" s="33">
        <f>Dolnośląski!D53+KujawskoPomorski!D53+Lubelski!D53+Lubuski!D53+Łódzki!D53+Małopolski!D53+Mazowiecki!D53+Opolski!D53+Podkarpacki!D53+Podlaski!D53+Pomorski!D53+Śląski!D53+Świętokrzyski!D53+WarmińskoMazurski!D53+Wielkopolski!D53+Zachodniopomorski!D53</f>
        <v>7185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f>Dolnośląski!C54+KujawskoPomorski!C54+Lubelski!C54+Lubuski!C54+Łódzki!C54+Małopolski!C54+Mazowiecki!C54+Opolski!C54+Podkarpacki!C54+Podlaski!C54+Pomorski!C54+Śląski!C54+Świętokrzyski!C54+WarmińskoMazurski!C54+Wielkopolski!C54+Zachodniopomorski!C54</f>
        <v>0</v>
      </c>
      <c r="D54" s="33">
        <f>Dolnośląski!D54+KujawskoPomorski!D54+Lubelski!D54+Lubuski!D54+Łódzki!D54+Małopolski!D54+Mazowiecki!D54+Opolski!D54+Podkarpacki!D54+Podlaski!D54+Pomorski!D54+Śląski!D54+Świętokrzyski!D54+WarmińskoMazurski!D54+Wielkopolski!D54+Zachodniopomorski!D54</f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f>Dolnośląski!C55+KujawskoPomorski!C55+Lubelski!C55+Lubuski!C55+Łódzki!C55+Małopolski!C55+Mazowiecki!C55+Opolski!C55+Podkarpacki!C55+Podlaski!C55+Pomorski!C55+Śląski!C55+Świętokrzyski!C55+WarmińskoMazurski!C55+Wielkopolski!C55+Zachodniopomorski!C55</f>
        <v>8456</v>
      </c>
      <c r="D55" s="33">
        <f>Dolnośląski!D55+KujawskoPomorski!D55+Lubelski!D55+Lubuski!D55+Łódzki!D55+Małopolski!D55+Mazowiecki!D55+Opolski!D55+Podkarpacki!D55+Podlaski!D55+Pomorski!D55+Śląski!D55+Świętokrzyski!D55+WarmińskoMazurski!D55+Wielkopolski!D55+Zachodniopomorski!D55</f>
        <v>8456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f>Dolnośląski!C56+KujawskoPomorski!C56+Lubelski!C56+Lubuski!C56+Łódzki!C56+Małopolski!C56+Mazowiecki!C56+Opolski!C56+Podkarpacki!C56+Podlaski!C56+Pomorski!C56+Śląski!C56+Świętokrzyski!C56+WarmińskoMazurski!C56+Wielkopolski!C56+Zachodniopomorski!C56</f>
        <v>0</v>
      </c>
      <c r="D56" s="33">
        <f>Dolnośląski!D56+KujawskoPomorski!D56+Lubelski!D56+Lubuski!D56+Łódzki!D56+Małopolski!D56+Mazowiecki!D56+Opolski!D56+Podkarpacki!D56+Podlaski!D56+Pomorski!D56+Śląski!D56+Świętokrzyski!D56+WarmińskoMazurski!D56+Wielkopolski!D56+Zachodniopomorski!D56</f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f>Dolnośląski!C57+KujawskoPomorski!C57+Lubelski!C57+Lubuski!C57+Łódzki!C57+Małopolski!C57+Mazowiecki!C57+Opolski!C57+Podkarpacki!C57+Podlaski!C57+Pomorski!C57+Śląski!C57+Świętokrzyski!C57+WarmińskoMazurski!C57+Wielkopolski!C57+Zachodniopomorski!C57</f>
        <v>53839</v>
      </c>
      <c r="D57" s="33">
        <f>Dolnośląski!D57+KujawskoPomorski!D57+Lubelski!D57+Lubuski!D57+Łódzki!D57+Małopolski!D57+Mazowiecki!D57+Opolski!D57+Podkarpacki!D57+Podlaski!D57+Pomorski!D57+Śląski!D57+Świętokrzyski!D57+WarmińskoMazurski!D57+Wielkopolski!D57+Zachodniopomorski!D57</f>
        <v>53839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f>Dolnośląski!C58+KujawskoPomorski!C58+Lubelski!C58+Lubuski!C58+Łódzki!C58+Małopolski!C58+Mazowiecki!C58+Opolski!C58+Podkarpacki!C58+Podlaski!C58+Pomorski!C58+Śląski!C58+Świętokrzyski!C58+WarmińskoMazurski!C58+Wielkopolski!C58+Zachodniopomorski!C58</f>
        <v>4405</v>
      </c>
      <c r="D58" s="33">
        <f>Dolnośląski!D58+KujawskoPomorski!D58+Lubelski!D58+Lubuski!D58+Łódzki!D58+Małopolski!D58+Mazowiecki!D58+Opolski!D58+Podkarpacki!D58+Podlaski!D58+Pomorski!D58+Śląski!D58+Świętokrzyski!D58+WarmińskoMazurski!D58+Wielkopolski!D58+Zachodniopomorski!D58</f>
        <v>4405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227184</v>
      </c>
      <c r="D59" s="107">
        <f>D60+D61+D62+D63</f>
        <v>296324</v>
      </c>
      <c r="E59" s="83">
        <f t="shared" si="0"/>
        <v>69140</v>
      </c>
      <c r="F59" s="108">
        <f t="shared" si="1"/>
        <v>1.3043</v>
      </c>
    </row>
    <row r="60" spans="1:6" ht="42" customHeight="1" x14ac:dyDescent="0.2">
      <c r="A60" s="51" t="s">
        <v>100</v>
      </c>
      <c r="B60" s="18" t="s">
        <v>113</v>
      </c>
      <c r="C60" s="31">
        <f>Dolnośląski!C60+KujawskoPomorski!C60+Lubelski!C60+Lubuski!C60+Łódzki!C60+Małopolski!C60+Mazowiecki!C60+Opolski!C60+Podkarpacki!C60+Podlaski!C60+Pomorski!C60+Śląski!C60+Świętokrzyski!C60+WarmińskoMazurski!C60+Wielkopolski!C60+Zachodniopomorski!C60</f>
        <v>327</v>
      </c>
      <c r="D60" s="33">
        <f>Dolnośląski!D60+KujawskoPomorski!D60+Lubelski!D60+Lubuski!D60+Łódzki!D60+Małopolski!D60+Mazowiecki!D60+Opolski!D60+Podkarpacki!D60+Podlaski!D60+Pomorski!D60+Śląski!D60+Świętokrzyski!D60+WarmińskoMazurski!D60+Wielkopolski!D60+Zachodniopomorski!D60</f>
        <v>332</v>
      </c>
      <c r="E60" s="29">
        <f t="shared" si="0"/>
        <v>5</v>
      </c>
      <c r="F60" s="39">
        <f t="shared" si="1"/>
        <v>1.0153000000000001</v>
      </c>
    </row>
    <row r="61" spans="1:6" ht="31.5" customHeight="1" x14ac:dyDescent="0.2">
      <c r="A61" s="51" t="s">
        <v>29</v>
      </c>
      <c r="B61" s="18" t="s">
        <v>54</v>
      </c>
      <c r="C61" s="31">
        <f>Dolnośląski!C61+KujawskoPomorski!C61+Lubelski!C61+Lubuski!C61+Łódzki!C61+Małopolski!C61+Mazowiecki!C61+Opolski!C61+Podkarpacki!C61+Podlaski!C61+Pomorski!C61+Śląski!C61+Świętokrzyski!C61+WarmińskoMazurski!C61+Wielkopolski!C61+Zachodniopomorski!C61</f>
        <v>204386</v>
      </c>
      <c r="D61" s="33">
        <f>Dolnośląski!D61+KujawskoPomorski!D61+Lubelski!D61+Lubuski!D61+Łódzki!D61+Małopolski!D61+Mazowiecki!D61+Opolski!D61+Podkarpacki!D61+Podlaski!D61+Pomorski!D61+Śląski!D61+Świętokrzyski!D61+WarmińskoMazurski!D61+Wielkopolski!D61+Zachodniopomorski!D61</f>
        <v>261161</v>
      </c>
      <c r="E61" s="29">
        <f t="shared" si="0"/>
        <v>56775</v>
      </c>
      <c r="F61" s="39">
        <f t="shared" si="1"/>
        <v>1.2778</v>
      </c>
    </row>
    <row r="62" spans="1:6" ht="31.5" customHeight="1" x14ac:dyDescent="0.2">
      <c r="A62" s="51" t="s">
        <v>30</v>
      </c>
      <c r="B62" s="18" t="s">
        <v>102</v>
      </c>
      <c r="C62" s="31">
        <f>Dolnośląski!C62+KujawskoPomorski!C62+Lubelski!C62+Lubuski!C62+Łódzki!C62+Małopolski!C62+Mazowiecki!C62+Opolski!C62+Podkarpacki!C62+Podlaski!C62+Pomorski!C62+Śląski!C62+Świętokrzyski!C62+WarmińskoMazurski!C62+Wielkopolski!C62+Zachodniopomorski!C62</f>
        <v>0</v>
      </c>
      <c r="D62" s="33">
        <f>Dolnośląski!D62+KujawskoPomorski!D62+Lubelski!D62+Lubuski!D62+Łódzki!D62+Małopolski!D62+Mazowiecki!D62+Opolski!D62+Podkarpacki!D62+Podlaski!D62+Pomorski!D62+Śląski!D62+Świętokrzyski!D62+WarmińskoMazurski!D62+Wielkopolski!D62+Zachodniopomorski!D62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f>Dolnośląski!C63+KujawskoPomorski!C63+Lubelski!C63+Lubuski!C63+Łódzki!C63+Małopolski!C63+Mazowiecki!C63+Opolski!C63+Podkarpacki!C63+Podlaski!C63+Pomorski!C63+Śląski!C63+Świętokrzyski!C63+WarmińskoMazurski!C63+Wielkopolski!C63+Zachodniopomorski!C63</f>
        <v>22471</v>
      </c>
      <c r="D63" s="33">
        <f>Dolnośląski!D63+KujawskoPomorski!D63+Lubelski!D63+Lubuski!D63+Łódzki!D63+Małopolski!D63+Mazowiecki!D63+Opolski!D63+Podkarpacki!D63+Podlaski!D63+Pomorski!D63+Śląski!D63+Świętokrzyski!D63+WarmińskoMazurski!D63+Wielkopolski!D63+Zachodniopomorski!D63</f>
        <v>34831</v>
      </c>
      <c r="E63" s="29">
        <f t="shared" si="0"/>
        <v>12360</v>
      </c>
      <c r="F63" s="39">
        <f t="shared" si="1"/>
        <v>1.55</v>
      </c>
    </row>
    <row r="64" spans="1:6" ht="32.25" customHeight="1" x14ac:dyDescent="0.2">
      <c r="A64" s="94" t="s">
        <v>135</v>
      </c>
      <c r="B64" s="95" t="s">
        <v>114</v>
      </c>
      <c r="C64" s="107">
        <f>Dolnośląski!C64+KujawskoPomorski!C64+Lubelski!C64+Lubuski!C64+Łódzki!C64+Małopolski!C64+Mazowiecki!C64+Opolski!C64+Podkarpacki!C64+Podlaski!C64+Pomorski!C64+Śląski!C64+Świętokrzyski!C64+WarmińskoMazurski!C64+Wielkopolski!C64+Zachodniopomorski!C64</f>
        <v>60084</v>
      </c>
      <c r="D64" s="107">
        <f>Dolnośląski!D64+KujawskoPomorski!D64+Lubelski!D64+Lubuski!D64+Łódzki!D64+Małopolski!D64+Mazowiecki!D64+Opolski!D64+Podkarpacki!D64+Podlaski!D64+Pomorski!D64+Śląski!D64+Świętokrzyski!D64+WarmińskoMazurski!D64+Wielkopolski!D64+Zachodniopomorski!D64</f>
        <v>90232</v>
      </c>
      <c r="E64" s="83">
        <f t="shared" si="0"/>
        <v>30148</v>
      </c>
      <c r="F64" s="108">
        <f t="shared" si="1"/>
        <v>1.5018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  <ignoredErrors>
    <ignoredError sqref="C57 C9:C10 C7:C8 C11:C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F64"/>
  <sheetViews>
    <sheetView showGridLines="0" view="pageBreakPreview" zoomScale="55" zoomScaleNormal="70" zoomScaleSheetLayoutView="55" workbookViewId="0">
      <pane ySplit="6" topLeftCell="A7" activePane="bottomLeft" state="frozen"/>
      <selection sqref="A1:F1"/>
      <selection pane="bottomLeft" sqref="A1:F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60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5264257</v>
      </c>
      <c r="D6" s="102">
        <f>D7+D8+D9+D14+D15+D16+D17+D18+D19+D20+D21+D22+D23+D24+D28+D29+D31+D32+D33</f>
        <v>5264257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705500</v>
      </c>
      <c r="D7" s="13">
        <f>C7</f>
        <v>705500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429721</v>
      </c>
      <c r="D8" s="13">
        <f>C8</f>
        <v>429721</v>
      </c>
      <c r="E8" s="38" t="str">
        <f>IF(C8=D8,"-",D8-C8)</f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2585707</v>
      </c>
      <c r="D9" s="13">
        <f t="shared" ref="D9:D12" si="2">C9</f>
        <v>2585707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v>258085</v>
      </c>
      <c r="D10" s="13">
        <f t="shared" si="2"/>
        <v>258085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233654</v>
      </c>
      <c r="D11" s="13">
        <f t="shared" si="2"/>
        <v>233654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114610</v>
      </c>
      <c r="D12" s="13">
        <f t="shared" si="2"/>
        <v>114610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53319</v>
      </c>
      <c r="D13" s="13">
        <f t="shared" ref="D13:D33" si="3">C13</f>
        <v>53319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194083</v>
      </c>
      <c r="D14" s="13">
        <f t="shared" si="3"/>
        <v>194083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172388</v>
      </c>
      <c r="D15" s="13">
        <f t="shared" si="3"/>
        <v>172388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106353</v>
      </c>
      <c r="D16" s="13">
        <f t="shared" si="3"/>
        <v>106353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38980</v>
      </c>
      <c r="D17" s="13">
        <f t="shared" si="3"/>
        <v>38980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124687</v>
      </c>
      <c r="D18" s="13">
        <f t="shared" si="3"/>
        <v>124687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62862</v>
      </c>
      <c r="D19" s="13">
        <f t="shared" si="3"/>
        <v>62862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4526</v>
      </c>
      <c r="D20" s="13">
        <f t="shared" si="3"/>
        <v>4526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14480</v>
      </c>
      <c r="D21" s="13">
        <f t="shared" si="3"/>
        <v>14480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139540</v>
      </c>
      <c r="D22" s="13">
        <f t="shared" si="3"/>
        <v>139540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71300</v>
      </c>
      <c r="D23" s="13">
        <f t="shared" si="3"/>
        <v>71300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607020</v>
      </c>
      <c r="D24" s="31">
        <f>SUM(D25:D27)</f>
        <v>607020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605020</v>
      </c>
      <c r="D25" s="13">
        <f t="shared" si="3"/>
        <v>605020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1000</v>
      </c>
      <c r="D26" s="13">
        <f t="shared" si="3"/>
        <v>1000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1000</v>
      </c>
      <c r="D27" s="13">
        <f t="shared" si="3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3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3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3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7110</v>
      </c>
      <c r="D32" s="13">
        <f t="shared" si="3"/>
        <v>7110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3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v>141685</v>
      </c>
      <c r="D35" s="37">
        <f>C35</f>
        <v>141685</v>
      </c>
      <c r="E35" s="7" t="str">
        <f t="shared" si="0"/>
        <v>-</v>
      </c>
      <c r="F35" s="40">
        <f t="shared" si="1"/>
        <v>1</v>
      </c>
    </row>
    <row r="36" spans="1:6" s="2" customFormat="1" ht="40.5" x14ac:dyDescent="0.2">
      <c r="A36" s="52" t="s">
        <v>188</v>
      </c>
      <c r="B36" s="17" t="s">
        <v>189</v>
      </c>
      <c r="C36" s="32">
        <v>9576</v>
      </c>
      <c r="D36" s="37">
        <f>C36</f>
        <v>9576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893993</v>
      </c>
      <c r="D37" s="32">
        <f>D11+D13+D24+D30</f>
        <v>893993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37585</v>
      </c>
      <c r="D38" s="87">
        <f>D39+D40+D41+D49+D51+D57+D58+D56</f>
        <v>37585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v>1572</v>
      </c>
      <c r="D39" s="33">
        <f>C39</f>
        <v>1572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v>3919</v>
      </c>
      <c r="D40" s="33">
        <f t="shared" ref="D40:D58" si="4">C40</f>
        <v>3919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346</v>
      </c>
      <c r="D41" s="33">
        <f>D42+D44+D45+D46+D47+D48</f>
        <v>346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v>53</v>
      </c>
      <c r="D42" s="33">
        <f t="shared" si="4"/>
        <v>53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v>53</v>
      </c>
      <c r="D43" s="33">
        <f t="shared" si="4"/>
        <v>53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v>65</v>
      </c>
      <c r="D44" s="33">
        <f t="shared" si="4"/>
        <v>65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v>1</v>
      </c>
      <c r="D45" s="33">
        <f t="shared" si="4"/>
        <v>1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42</v>
      </c>
      <c r="B46" s="46" t="s">
        <v>35</v>
      </c>
      <c r="C46" s="31">
        <v>0</v>
      </c>
      <c r="D46" s="33">
        <f t="shared" si="4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v>226</v>
      </c>
      <c r="D47" s="33">
        <f t="shared" si="4"/>
        <v>226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v>1</v>
      </c>
      <c r="D48" s="33">
        <f t="shared" si="4"/>
        <v>1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v>21733</v>
      </c>
      <c r="D49" s="33">
        <f t="shared" si="4"/>
        <v>21733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v>100</v>
      </c>
      <c r="D50" s="33">
        <f t="shared" si="4"/>
        <v>100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4848</v>
      </c>
      <c r="D51" s="29">
        <f>D52+D53+D54+D55</f>
        <v>4848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v>3593</v>
      </c>
      <c r="D52" s="33">
        <f t="shared" si="4"/>
        <v>3593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v>439</v>
      </c>
      <c r="D53" s="33">
        <f t="shared" si="4"/>
        <v>439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v>0</v>
      </c>
      <c r="D54" s="33">
        <f t="shared" si="4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v>816</v>
      </c>
      <c r="D55" s="33">
        <f t="shared" si="4"/>
        <v>816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v>0</v>
      </c>
      <c r="D56" s="33">
        <f t="shared" si="4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v>4925</v>
      </c>
      <c r="D57" s="33">
        <f t="shared" si="4"/>
        <v>4925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v>242</v>
      </c>
      <c r="D58" s="33">
        <f t="shared" si="4"/>
        <v>242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17712</v>
      </c>
      <c r="D59" s="107">
        <f>D60+D61+D62+D63</f>
        <v>7879</v>
      </c>
      <c r="E59" s="83">
        <f t="shared" si="0"/>
        <v>-9833</v>
      </c>
      <c r="F59" s="108">
        <f t="shared" si="1"/>
        <v>0.44479999999999997</v>
      </c>
    </row>
    <row r="60" spans="1:6" ht="42" customHeight="1" x14ac:dyDescent="0.2">
      <c r="A60" s="51" t="s">
        <v>100</v>
      </c>
      <c r="B60" s="18" t="s">
        <v>113</v>
      </c>
      <c r="C60" s="31"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v>16052</v>
      </c>
      <c r="D61" s="33">
        <f>C61-12141</f>
        <v>3911</v>
      </c>
      <c r="E61" s="29">
        <f t="shared" si="0"/>
        <v>-12141</v>
      </c>
      <c r="F61" s="39">
        <f t="shared" si="1"/>
        <v>0.24360000000000001</v>
      </c>
    </row>
    <row r="62" spans="1:6" ht="31.5" customHeight="1" x14ac:dyDescent="0.2">
      <c r="A62" s="51" t="s">
        <v>30</v>
      </c>
      <c r="B62" s="18" t="s">
        <v>102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v>1660</v>
      </c>
      <c r="D63" s="33">
        <f>C63+2308</f>
        <v>3968</v>
      </c>
      <c r="E63" s="29">
        <f t="shared" si="0"/>
        <v>2308</v>
      </c>
      <c r="F63" s="39">
        <f t="shared" si="1"/>
        <v>2.3904000000000001</v>
      </c>
    </row>
    <row r="64" spans="1:6" ht="32.25" customHeight="1" x14ac:dyDescent="0.2">
      <c r="A64" s="94" t="s">
        <v>135</v>
      </c>
      <c r="B64" s="95" t="s">
        <v>114</v>
      </c>
      <c r="C64" s="107">
        <v>1981</v>
      </c>
      <c r="D64" s="107">
        <f>C64+867</f>
        <v>2848</v>
      </c>
      <c r="E64" s="83">
        <f t="shared" si="0"/>
        <v>867</v>
      </c>
      <c r="F64" s="108">
        <f t="shared" si="1"/>
        <v>1.4377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61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3768274</v>
      </c>
      <c r="D6" s="102">
        <f>D7+D8+D9+D14+D15+D16+D17+D18+D19+D20+D21+D22+D23+D24+D28+D29+D31+D32+D33</f>
        <v>3768274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511745</v>
      </c>
      <c r="D7" s="13">
        <f>C7</f>
        <v>511745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294929</v>
      </c>
      <c r="D8" s="13">
        <f>C8</f>
        <v>294929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1860580</v>
      </c>
      <c r="D9" s="13">
        <f t="shared" ref="D9:D33" si="2">C9</f>
        <v>1860580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v>163118</v>
      </c>
      <c r="D10" s="13">
        <f t="shared" si="2"/>
        <v>163118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146776</v>
      </c>
      <c r="D11" s="13">
        <f t="shared" si="2"/>
        <v>146776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72829</v>
      </c>
      <c r="D12" s="13">
        <f t="shared" si="2"/>
        <v>72829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37467</v>
      </c>
      <c r="D13" s="13">
        <f t="shared" si="2"/>
        <v>37467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129507</v>
      </c>
      <c r="D14" s="13">
        <f t="shared" si="2"/>
        <v>129507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100705</v>
      </c>
      <c r="D15" s="13">
        <f t="shared" si="2"/>
        <v>100705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57588</v>
      </c>
      <c r="D16" s="13">
        <f t="shared" si="2"/>
        <v>57588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31067</v>
      </c>
      <c r="D17" s="13">
        <f t="shared" si="2"/>
        <v>31067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97854</v>
      </c>
      <c r="D18" s="13">
        <f t="shared" si="2"/>
        <v>97854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34000</v>
      </c>
      <c r="D19" s="13">
        <f t="shared" si="2"/>
        <v>34000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2763</v>
      </c>
      <c r="D20" s="13">
        <f t="shared" si="2"/>
        <v>2763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10557</v>
      </c>
      <c r="D21" s="13">
        <f t="shared" si="2"/>
        <v>10557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112165</v>
      </c>
      <c r="D22" s="13">
        <f t="shared" si="2"/>
        <v>112165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50543</v>
      </c>
      <c r="D23" s="13">
        <f t="shared" si="2"/>
        <v>50543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469389</v>
      </c>
      <c r="D24" s="31">
        <f>SUM(D25:D27)</f>
        <v>469389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468563</v>
      </c>
      <c r="D25" s="13">
        <f t="shared" si="2"/>
        <v>468563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559</v>
      </c>
      <c r="D26" s="13">
        <f t="shared" si="2"/>
        <v>559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267</v>
      </c>
      <c r="D27" s="13">
        <f t="shared" si="2"/>
        <v>267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4882</v>
      </c>
      <c r="D32" s="13">
        <f t="shared" si="2"/>
        <v>4882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v>111000</v>
      </c>
      <c r="D35" s="37">
        <f>C35</f>
        <v>111000</v>
      </c>
      <c r="E35" s="7" t="str">
        <f t="shared" si="0"/>
        <v>-</v>
      </c>
      <c r="F35" s="40">
        <f t="shared" si="1"/>
        <v>1</v>
      </c>
    </row>
    <row r="36" spans="1:6" s="2" customFormat="1" ht="40.5" x14ac:dyDescent="0.2">
      <c r="A36" s="52" t="s">
        <v>188</v>
      </c>
      <c r="B36" s="17" t="s">
        <v>189</v>
      </c>
      <c r="C36" s="32">
        <v>6290</v>
      </c>
      <c r="D36" s="37">
        <f>C36</f>
        <v>6290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653632</v>
      </c>
      <c r="D37" s="32">
        <f>D11+D13+D24+D30</f>
        <v>653632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29370</v>
      </c>
      <c r="D38" s="87">
        <f>D39+D40+D41+D49+D51+D57+D58+D56</f>
        <v>29370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v>1151</v>
      </c>
      <c r="D39" s="33">
        <f>C39</f>
        <v>1151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v>3995</v>
      </c>
      <c r="D40" s="33">
        <f t="shared" ref="D40:D58" si="3">C40</f>
        <v>3995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233</v>
      </c>
      <c r="D41" s="33">
        <f>D42+D44+D45+D46+D47+D48</f>
        <v>233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v>43</v>
      </c>
      <c r="D42" s="33">
        <f t="shared" si="3"/>
        <v>43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v>43</v>
      </c>
      <c r="D43" s="33">
        <f t="shared" si="3"/>
        <v>43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v>20</v>
      </c>
      <c r="D44" s="33">
        <f t="shared" si="3"/>
        <v>20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v>160</v>
      </c>
      <c r="D47" s="33">
        <f t="shared" si="3"/>
        <v>160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v>10</v>
      </c>
      <c r="D48" s="33">
        <f t="shared" si="3"/>
        <v>10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v>15258</v>
      </c>
      <c r="D49" s="33">
        <f t="shared" si="3"/>
        <v>15258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v>0</v>
      </c>
      <c r="D50" s="33">
        <f t="shared" si="3"/>
        <v>0</v>
      </c>
      <c r="E50" s="38" t="str">
        <f t="shared" si="0"/>
        <v>-</v>
      </c>
      <c r="F50" s="39" t="str">
        <f t="shared" si="1"/>
        <v>-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3403</v>
      </c>
      <c r="D51" s="29">
        <f>D52+D53+D54+D55</f>
        <v>3403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v>2552</v>
      </c>
      <c r="D52" s="33">
        <f t="shared" si="3"/>
        <v>2552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v>292</v>
      </c>
      <c r="D53" s="33">
        <f t="shared" si="3"/>
        <v>292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v>559</v>
      </c>
      <c r="D55" s="33">
        <f t="shared" si="3"/>
        <v>559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v>5005</v>
      </c>
      <c r="D57" s="33">
        <f t="shared" si="3"/>
        <v>5005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v>325</v>
      </c>
      <c r="D58" s="33">
        <f t="shared" si="3"/>
        <v>325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40101</v>
      </c>
      <c r="D59" s="107">
        <f>D60+D61+D62+D63</f>
        <v>79532</v>
      </c>
      <c r="E59" s="83">
        <f t="shared" si="0"/>
        <v>39431</v>
      </c>
      <c r="F59" s="108">
        <f t="shared" si="1"/>
        <v>1.9833000000000001</v>
      </c>
    </row>
    <row r="60" spans="1:6" ht="42" customHeight="1" x14ac:dyDescent="0.2">
      <c r="A60" s="51" t="s">
        <v>100</v>
      </c>
      <c r="B60" s="18" t="s">
        <v>113</v>
      </c>
      <c r="C60" s="31"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v>38601</v>
      </c>
      <c r="D61" s="33">
        <f>C61+40431</f>
        <v>79032</v>
      </c>
      <c r="E61" s="29">
        <f t="shared" si="0"/>
        <v>40431</v>
      </c>
      <c r="F61" s="39">
        <f t="shared" si="1"/>
        <v>2.0474000000000001</v>
      </c>
    </row>
    <row r="62" spans="1:6" ht="31.5" customHeight="1" x14ac:dyDescent="0.2">
      <c r="A62" s="51" t="s">
        <v>30</v>
      </c>
      <c r="B62" s="18" t="s">
        <v>102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v>1500</v>
      </c>
      <c r="D63" s="33">
        <f>C63-1000</f>
        <v>500</v>
      </c>
      <c r="E63" s="29">
        <f t="shared" si="0"/>
        <v>-1000</v>
      </c>
      <c r="F63" s="39">
        <f t="shared" si="1"/>
        <v>0.33329999999999999</v>
      </c>
    </row>
    <row r="64" spans="1:6" ht="32.25" customHeight="1" x14ac:dyDescent="0.2">
      <c r="A64" s="94" t="s">
        <v>135</v>
      </c>
      <c r="B64" s="95" t="s">
        <v>114</v>
      </c>
      <c r="C64" s="107">
        <v>19735</v>
      </c>
      <c r="D64" s="107">
        <v>35083</v>
      </c>
      <c r="E64" s="83">
        <f t="shared" si="0"/>
        <v>15348</v>
      </c>
      <c r="F64" s="108">
        <f t="shared" si="1"/>
        <v>1.7777000000000001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40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62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3953500</v>
      </c>
      <c r="D6" s="102">
        <f>D7+D8+D9+D14+D15+D16+D17+D18+D19+D20+D21+D22+D23+D24+D28+D29+D31+D32+D33</f>
        <v>3953500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526900</v>
      </c>
      <c r="D7" s="13">
        <f>C7</f>
        <v>526900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304669</v>
      </c>
      <c r="D8" s="13">
        <f>C8</f>
        <v>304669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1966218</v>
      </c>
      <c r="D9" s="13">
        <f t="shared" ref="D9:D33" si="2">C9</f>
        <v>1966218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v>173263</v>
      </c>
      <c r="D10" s="13">
        <f t="shared" si="2"/>
        <v>173263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157836</v>
      </c>
      <c r="D11" s="13">
        <f t="shared" si="2"/>
        <v>157836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88423</v>
      </c>
      <c r="D12" s="13">
        <f t="shared" si="2"/>
        <v>88423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38541</v>
      </c>
      <c r="D13" s="13">
        <f t="shared" si="2"/>
        <v>38541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146638</v>
      </c>
      <c r="D14" s="13">
        <f t="shared" si="2"/>
        <v>146638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120702</v>
      </c>
      <c r="D15" s="13">
        <f t="shared" si="2"/>
        <v>120702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70133</v>
      </c>
      <c r="D16" s="13">
        <f t="shared" si="2"/>
        <v>70133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19103</v>
      </c>
      <c r="D17" s="13">
        <f t="shared" si="2"/>
        <v>19103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127759</v>
      </c>
      <c r="D18" s="13">
        <f t="shared" si="2"/>
        <v>127759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41200</v>
      </c>
      <c r="D19" s="13">
        <f t="shared" si="2"/>
        <v>41200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3300</v>
      </c>
      <c r="D20" s="13">
        <f t="shared" si="2"/>
        <v>3300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9679</v>
      </c>
      <c r="D21" s="13">
        <f t="shared" si="2"/>
        <v>9679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111595</v>
      </c>
      <c r="D22" s="13">
        <f t="shared" si="2"/>
        <v>111595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49000</v>
      </c>
      <c r="D23" s="13">
        <f t="shared" si="2"/>
        <v>49000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447782</v>
      </c>
      <c r="D24" s="31">
        <f>SUM(D25:D27)</f>
        <v>447782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444982</v>
      </c>
      <c r="D25" s="13">
        <f t="shared" si="2"/>
        <v>444982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2200</v>
      </c>
      <c r="D26" s="13">
        <f t="shared" si="2"/>
        <v>2200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600</v>
      </c>
      <c r="D27" s="13">
        <f t="shared" si="2"/>
        <v>600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8822</v>
      </c>
      <c r="D32" s="13">
        <f t="shared" si="2"/>
        <v>8822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v>114605</v>
      </c>
      <c r="D35" s="37">
        <f>C35</f>
        <v>114605</v>
      </c>
      <c r="E35" s="7" t="str">
        <f t="shared" si="0"/>
        <v>-</v>
      </c>
      <c r="F35" s="40">
        <f t="shared" si="1"/>
        <v>1</v>
      </c>
    </row>
    <row r="36" spans="1:6" s="2" customFormat="1" ht="40.5" x14ac:dyDescent="0.2">
      <c r="A36" s="52" t="s">
        <v>188</v>
      </c>
      <c r="B36" s="17" t="s">
        <v>189</v>
      </c>
      <c r="C36" s="32">
        <v>7505</v>
      </c>
      <c r="D36" s="37">
        <f>C36</f>
        <v>7505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644159</v>
      </c>
      <c r="D37" s="32">
        <f>D11+D13+D24+D30</f>
        <v>644159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25424</v>
      </c>
      <c r="D38" s="87">
        <f>D39+D40+D41+D49+D51+D57+D58+D56</f>
        <v>25424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v>862</v>
      </c>
      <c r="D39" s="33">
        <f>C39</f>
        <v>862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v>2773</v>
      </c>
      <c r="D40" s="33">
        <f t="shared" ref="D40:D58" si="3">C40</f>
        <v>2773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256</v>
      </c>
      <c r="D41" s="33">
        <f>D42+D44+D45+D46+D47+D48</f>
        <v>256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v>31</v>
      </c>
      <c r="D42" s="33">
        <f t="shared" si="3"/>
        <v>31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v>31</v>
      </c>
      <c r="D43" s="33">
        <f t="shared" si="3"/>
        <v>31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v>0</v>
      </c>
      <c r="D44" s="33">
        <f t="shared" si="3"/>
        <v>0</v>
      </c>
      <c r="E44" s="38" t="str">
        <f t="shared" si="0"/>
        <v>-</v>
      </c>
      <c r="F44" s="39" t="str">
        <f t="shared" si="1"/>
        <v>-</v>
      </c>
    </row>
    <row r="45" spans="1:6" ht="28.5" customHeight="1" x14ac:dyDescent="0.2">
      <c r="A45" s="53" t="s">
        <v>41</v>
      </c>
      <c r="B45" s="46" t="s">
        <v>34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v>217</v>
      </c>
      <c r="D47" s="33">
        <f t="shared" si="3"/>
        <v>217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v>8</v>
      </c>
      <c r="D48" s="33">
        <f t="shared" si="3"/>
        <v>8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v>15939</v>
      </c>
      <c r="D49" s="33">
        <f t="shared" si="3"/>
        <v>15939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v>144</v>
      </c>
      <c r="D50" s="33">
        <f t="shared" si="3"/>
        <v>144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3554</v>
      </c>
      <c r="D51" s="29">
        <f>D52+D53+D54+D55</f>
        <v>3554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v>2741</v>
      </c>
      <c r="D52" s="33">
        <f t="shared" si="3"/>
        <v>2741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v>391</v>
      </c>
      <c r="D53" s="33">
        <f t="shared" si="3"/>
        <v>391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v>422</v>
      </c>
      <c r="D55" s="33">
        <f t="shared" si="3"/>
        <v>422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v>1670</v>
      </c>
      <c r="D57" s="33">
        <f t="shared" si="3"/>
        <v>1670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v>370</v>
      </c>
      <c r="D58" s="33">
        <f t="shared" si="3"/>
        <v>370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41705</v>
      </c>
      <c r="D59" s="107">
        <f>D60+D61+D62+D63</f>
        <v>46505</v>
      </c>
      <c r="E59" s="83">
        <f t="shared" si="0"/>
        <v>4800</v>
      </c>
      <c r="F59" s="108">
        <f t="shared" si="1"/>
        <v>1.1151</v>
      </c>
    </row>
    <row r="60" spans="1:6" ht="42" customHeight="1" x14ac:dyDescent="0.2">
      <c r="A60" s="51" t="s">
        <v>100</v>
      </c>
      <c r="B60" s="18" t="s">
        <v>113</v>
      </c>
      <c r="C60" s="31">
        <v>5</v>
      </c>
      <c r="D60" s="33">
        <f>C60-5</f>
        <v>0</v>
      </c>
      <c r="E60" s="29">
        <f t="shared" si="0"/>
        <v>-5</v>
      </c>
      <c r="F60" s="39">
        <f t="shared" si="1"/>
        <v>0</v>
      </c>
    </row>
    <row r="61" spans="1:6" ht="31.5" customHeight="1" x14ac:dyDescent="0.2">
      <c r="A61" s="51" t="s">
        <v>29</v>
      </c>
      <c r="B61" s="18" t="s">
        <v>54</v>
      </c>
      <c r="C61" s="31">
        <v>40500</v>
      </c>
      <c r="D61" s="33">
        <f>C61+5505</f>
        <v>46005</v>
      </c>
      <c r="E61" s="29">
        <f t="shared" si="0"/>
        <v>5505</v>
      </c>
      <c r="F61" s="39">
        <f t="shared" si="1"/>
        <v>1.1358999999999999</v>
      </c>
    </row>
    <row r="62" spans="1:6" ht="31.5" customHeight="1" x14ac:dyDescent="0.2">
      <c r="A62" s="51" t="s">
        <v>30</v>
      </c>
      <c r="B62" s="18" t="s">
        <v>102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v>1200</v>
      </c>
      <c r="D63" s="33">
        <f>C63-700</f>
        <v>500</v>
      </c>
      <c r="E63" s="29">
        <f t="shared" si="0"/>
        <v>-700</v>
      </c>
      <c r="F63" s="39">
        <f t="shared" si="1"/>
        <v>0.41670000000000001</v>
      </c>
    </row>
    <row r="64" spans="1:6" ht="32.25" customHeight="1" x14ac:dyDescent="0.2">
      <c r="A64" s="94" t="s">
        <v>135</v>
      </c>
      <c r="B64" s="95" t="s">
        <v>114</v>
      </c>
      <c r="C64" s="107">
        <v>5000</v>
      </c>
      <c r="D64" s="107">
        <f>C64-4800</f>
        <v>200</v>
      </c>
      <c r="E64" s="83">
        <f t="shared" si="0"/>
        <v>-4800</v>
      </c>
      <c r="F64" s="108">
        <f t="shared" si="1"/>
        <v>0.04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46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3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63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1811284</v>
      </c>
      <c r="D6" s="102">
        <f>D7+D8+D9+D14+D15+D16+D17+D18+D19+D20+D21+D22+D23+D24+D28+D29+D31+D32+D33</f>
        <v>1811284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246200</v>
      </c>
      <c r="D7" s="13">
        <f>C7</f>
        <v>246200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152804</v>
      </c>
      <c r="D8" s="13">
        <f>C8</f>
        <v>152804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875853</v>
      </c>
      <c r="D9" s="13">
        <f t="shared" ref="D9:D33" si="2">C9</f>
        <v>875853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v>76244</v>
      </c>
      <c r="D10" s="13">
        <f t="shared" si="2"/>
        <v>76244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70071</v>
      </c>
      <c r="D11" s="13">
        <f t="shared" si="2"/>
        <v>70071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35478</v>
      </c>
      <c r="D12" s="13">
        <f t="shared" si="2"/>
        <v>35478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12318</v>
      </c>
      <c r="D13" s="13">
        <f t="shared" si="2"/>
        <v>12318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94181</v>
      </c>
      <c r="D14" s="13">
        <f t="shared" si="2"/>
        <v>94181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53682</v>
      </c>
      <c r="D15" s="13">
        <f t="shared" si="2"/>
        <v>53682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25928</v>
      </c>
      <c r="D16" s="13">
        <f t="shared" si="2"/>
        <v>25928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12124</v>
      </c>
      <c r="D17" s="13">
        <f t="shared" si="2"/>
        <v>12124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42036</v>
      </c>
      <c r="D18" s="13">
        <f t="shared" si="2"/>
        <v>42036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14200</v>
      </c>
      <c r="D19" s="13">
        <f t="shared" si="2"/>
        <v>14200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1634</v>
      </c>
      <c r="D20" s="13">
        <f t="shared" si="2"/>
        <v>1634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5639</v>
      </c>
      <c r="D21" s="13">
        <f t="shared" si="2"/>
        <v>5639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52871</v>
      </c>
      <c r="D22" s="13">
        <f t="shared" si="2"/>
        <v>52871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26000</v>
      </c>
      <c r="D23" s="13">
        <f t="shared" si="2"/>
        <v>26000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199901</v>
      </c>
      <c r="D24" s="31">
        <f>SUM(D25:D27)</f>
        <v>199901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199401</v>
      </c>
      <c r="D25" s="13">
        <f t="shared" si="2"/>
        <v>199401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300</v>
      </c>
      <c r="D26" s="13">
        <f t="shared" si="2"/>
        <v>300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8231</v>
      </c>
      <c r="D32" s="13">
        <f t="shared" si="2"/>
        <v>8231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v>66351</v>
      </c>
      <c r="D35" s="37">
        <f>C35</f>
        <v>66351</v>
      </c>
      <c r="E35" s="7" t="str">
        <f t="shared" si="0"/>
        <v>-</v>
      </c>
      <c r="F35" s="40">
        <f t="shared" si="1"/>
        <v>1</v>
      </c>
    </row>
    <row r="36" spans="1:6" s="2" customFormat="1" ht="40.5" x14ac:dyDescent="0.2">
      <c r="A36" s="52" t="s">
        <v>188</v>
      </c>
      <c r="B36" s="17" t="s">
        <v>189</v>
      </c>
      <c r="C36" s="32">
        <v>2892</v>
      </c>
      <c r="D36" s="37">
        <f>C36</f>
        <v>2892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282290</v>
      </c>
      <c r="D37" s="32">
        <f>D11+D13+D24+D30</f>
        <v>282290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18027</v>
      </c>
      <c r="D38" s="87">
        <f>D39+D40+D41+D49+D51+D57+D58+D56</f>
        <v>18027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v>750</v>
      </c>
      <c r="D39" s="33">
        <f>C39</f>
        <v>750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v>2185</v>
      </c>
      <c r="D40" s="33">
        <f t="shared" ref="D40:D58" si="3">C40</f>
        <v>2185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83</v>
      </c>
      <c r="D41" s="33">
        <f>D42+D44+D45+D46+D47+D48</f>
        <v>83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v>14</v>
      </c>
      <c r="D42" s="33">
        <f t="shared" si="3"/>
        <v>14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v>14</v>
      </c>
      <c r="D43" s="33">
        <f t="shared" si="3"/>
        <v>14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v>0</v>
      </c>
      <c r="D44" s="33">
        <f t="shared" si="3"/>
        <v>0</v>
      </c>
      <c r="E44" s="38" t="str">
        <f t="shared" si="0"/>
        <v>-</v>
      </c>
      <c r="F44" s="39" t="str">
        <f t="shared" si="1"/>
        <v>-</v>
      </c>
    </row>
    <row r="45" spans="1:6" ht="28.5" customHeight="1" x14ac:dyDescent="0.2">
      <c r="A45" s="53" t="s">
        <v>41</v>
      </c>
      <c r="B45" s="46" t="s">
        <v>34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v>46</v>
      </c>
      <c r="D47" s="33">
        <f t="shared" si="3"/>
        <v>46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v>23</v>
      </c>
      <c r="D48" s="33">
        <f t="shared" si="3"/>
        <v>23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v>9027</v>
      </c>
      <c r="D49" s="33">
        <f t="shared" si="3"/>
        <v>9027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v>32</v>
      </c>
      <c r="D50" s="33">
        <f t="shared" si="3"/>
        <v>32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2079</v>
      </c>
      <c r="D51" s="29">
        <f>D52+D53+D54+D55</f>
        <v>2079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v>1552</v>
      </c>
      <c r="D52" s="33">
        <f t="shared" si="3"/>
        <v>1552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v>220</v>
      </c>
      <c r="D53" s="33">
        <f t="shared" si="3"/>
        <v>220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v>307</v>
      </c>
      <c r="D55" s="33">
        <f t="shared" si="3"/>
        <v>307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v>3600</v>
      </c>
      <c r="D57" s="33">
        <f t="shared" si="3"/>
        <v>3600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v>303</v>
      </c>
      <c r="D58" s="33">
        <f t="shared" si="3"/>
        <v>303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4280</v>
      </c>
      <c r="D59" s="107">
        <f>D60+D61+D62+D63</f>
        <v>1300</v>
      </c>
      <c r="E59" s="83">
        <f t="shared" si="0"/>
        <v>-2980</v>
      </c>
      <c r="F59" s="108">
        <f t="shared" si="1"/>
        <v>0.30370000000000003</v>
      </c>
    </row>
    <row r="60" spans="1:6" ht="42" customHeight="1" x14ac:dyDescent="0.2">
      <c r="A60" s="51" t="s">
        <v>100</v>
      </c>
      <c r="B60" s="18" t="s">
        <v>113</v>
      </c>
      <c r="C60" s="31"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v>3730</v>
      </c>
      <c r="D61" s="33">
        <f>C61-3630</f>
        <v>100</v>
      </c>
      <c r="E61" s="29">
        <f t="shared" si="0"/>
        <v>-3630</v>
      </c>
      <c r="F61" s="39">
        <f t="shared" si="1"/>
        <v>2.6800000000000001E-2</v>
      </c>
    </row>
    <row r="62" spans="1:6" ht="31.5" customHeight="1" x14ac:dyDescent="0.2">
      <c r="A62" s="51" t="s">
        <v>30</v>
      </c>
      <c r="B62" s="18" t="s">
        <v>102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v>550</v>
      </c>
      <c r="D63" s="33">
        <f>C63+650</f>
        <v>1200</v>
      </c>
      <c r="E63" s="29">
        <f t="shared" si="0"/>
        <v>650</v>
      </c>
      <c r="F63" s="39">
        <f t="shared" si="1"/>
        <v>2.1818</v>
      </c>
    </row>
    <row r="64" spans="1:6" ht="32.25" customHeight="1" x14ac:dyDescent="0.2">
      <c r="A64" s="94" t="s">
        <v>135</v>
      </c>
      <c r="B64" s="95" t="s">
        <v>114</v>
      </c>
      <c r="C64" s="107">
        <v>750</v>
      </c>
      <c r="D64" s="107">
        <f>C64+850</f>
        <v>1600</v>
      </c>
      <c r="E64" s="83">
        <f t="shared" si="0"/>
        <v>850</v>
      </c>
      <c r="F64" s="108">
        <f t="shared" si="1"/>
        <v>2.1333000000000002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43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64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4783862</v>
      </c>
      <c r="D6" s="102">
        <f>D7+D8+D9+D14+D15+D16+D17+D18+D19+D20+D21+D22+D23+D24+D28+D29+D31+D32+D33</f>
        <v>4783862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626353</v>
      </c>
      <c r="D7" s="13">
        <f>C7</f>
        <v>626353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352542</v>
      </c>
      <c r="D8" s="13">
        <f>C8</f>
        <v>352542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2437841</v>
      </c>
      <c r="D9" s="13">
        <f t="shared" ref="D9:D33" si="2">C9</f>
        <v>2437841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v>226115</v>
      </c>
      <c r="D10" s="13">
        <f t="shared" si="2"/>
        <v>226115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204587</v>
      </c>
      <c r="D11" s="13">
        <f t="shared" si="2"/>
        <v>204587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86960</v>
      </c>
      <c r="D12" s="13">
        <f t="shared" si="2"/>
        <v>86960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34828</v>
      </c>
      <c r="D13" s="13">
        <f t="shared" si="2"/>
        <v>34828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172778</v>
      </c>
      <c r="D14" s="13">
        <f t="shared" si="2"/>
        <v>172778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130355</v>
      </c>
      <c r="D15" s="13">
        <f t="shared" si="2"/>
        <v>130355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59045</v>
      </c>
      <c r="D16" s="13">
        <f t="shared" si="2"/>
        <v>59045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24403</v>
      </c>
      <c r="D17" s="13">
        <f t="shared" si="2"/>
        <v>24403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115741</v>
      </c>
      <c r="D18" s="13">
        <f t="shared" si="2"/>
        <v>115741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43000</v>
      </c>
      <c r="D19" s="13">
        <f t="shared" si="2"/>
        <v>43000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2420</v>
      </c>
      <c r="D20" s="13">
        <f t="shared" si="2"/>
        <v>2420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11304</v>
      </c>
      <c r="D21" s="13">
        <f t="shared" si="2"/>
        <v>11304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135119</v>
      </c>
      <c r="D22" s="13">
        <f t="shared" si="2"/>
        <v>135119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62891</v>
      </c>
      <c r="D23" s="13">
        <f t="shared" si="2"/>
        <v>62891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590923</v>
      </c>
      <c r="D24" s="31">
        <f>SUM(D25:D27)</f>
        <v>590923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589420</v>
      </c>
      <c r="D25" s="13">
        <f t="shared" si="2"/>
        <v>589420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945</v>
      </c>
      <c r="D26" s="13">
        <f t="shared" si="2"/>
        <v>945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558</v>
      </c>
      <c r="D27" s="13">
        <f t="shared" si="2"/>
        <v>558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19147</v>
      </c>
      <c r="D32" s="13">
        <f t="shared" si="2"/>
        <v>19147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v>122746</v>
      </c>
      <c r="D35" s="37">
        <f>C35</f>
        <v>122746</v>
      </c>
      <c r="E35" s="7" t="str">
        <f t="shared" si="0"/>
        <v>-</v>
      </c>
      <c r="F35" s="40">
        <f t="shared" si="1"/>
        <v>1</v>
      </c>
    </row>
    <row r="36" spans="1:6" s="2" customFormat="1" ht="40.5" x14ac:dyDescent="0.2">
      <c r="A36" s="52" t="s">
        <v>188</v>
      </c>
      <c r="B36" s="17" t="s">
        <v>189</v>
      </c>
      <c r="C36" s="32">
        <v>8930</v>
      </c>
      <c r="D36" s="37">
        <f>C36</f>
        <v>8930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830338</v>
      </c>
      <c r="D37" s="32">
        <f>D11+D13+D24+D30</f>
        <v>830338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31129</v>
      </c>
      <c r="D38" s="87">
        <f>D39+D40+D41+D49+D51+D57+D58+D56</f>
        <v>31129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v>1216</v>
      </c>
      <c r="D39" s="33">
        <f>C39</f>
        <v>1216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v>5223</v>
      </c>
      <c r="D40" s="33">
        <f t="shared" ref="D40:D58" si="3">C40</f>
        <v>5223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251</v>
      </c>
      <c r="D41" s="33">
        <f>D42+D44+D45+D46+D47+D48</f>
        <v>251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v>11</v>
      </c>
      <c r="D42" s="33">
        <f t="shared" si="3"/>
        <v>11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v>11</v>
      </c>
      <c r="D43" s="33">
        <f t="shared" si="3"/>
        <v>11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v>18</v>
      </c>
      <c r="D44" s="33">
        <f t="shared" si="3"/>
        <v>18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v>218</v>
      </c>
      <c r="D47" s="33">
        <f t="shared" si="3"/>
        <v>218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v>4</v>
      </c>
      <c r="D48" s="33">
        <f t="shared" si="3"/>
        <v>4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v>18571</v>
      </c>
      <c r="D49" s="33">
        <f t="shared" si="3"/>
        <v>18571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v>90</v>
      </c>
      <c r="D50" s="33">
        <f t="shared" si="3"/>
        <v>90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4140</v>
      </c>
      <c r="D51" s="29">
        <f>D52+D53+D54+D55</f>
        <v>4140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v>3192</v>
      </c>
      <c r="D52" s="33">
        <f t="shared" si="3"/>
        <v>3192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v>455</v>
      </c>
      <c r="D53" s="33">
        <f t="shared" si="3"/>
        <v>455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v>493</v>
      </c>
      <c r="D55" s="33">
        <f t="shared" si="3"/>
        <v>493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v>1442</v>
      </c>
      <c r="D57" s="33">
        <f t="shared" si="3"/>
        <v>1442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v>286</v>
      </c>
      <c r="D58" s="33">
        <f t="shared" si="3"/>
        <v>286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15800</v>
      </c>
      <c r="D59" s="107">
        <f>D60+D61+D62+D63</f>
        <v>11250</v>
      </c>
      <c r="E59" s="83">
        <f t="shared" si="0"/>
        <v>-4550</v>
      </c>
      <c r="F59" s="108">
        <f t="shared" si="1"/>
        <v>0.71199999999999997</v>
      </c>
    </row>
    <row r="60" spans="1:6" ht="42" customHeight="1" x14ac:dyDescent="0.2">
      <c r="A60" s="51" t="s">
        <v>100</v>
      </c>
      <c r="B60" s="18" t="s">
        <v>113</v>
      </c>
      <c r="C60" s="31"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v>15000</v>
      </c>
      <c r="D61" s="33">
        <f>C61-5070</f>
        <v>9930</v>
      </c>
      <c r="E61" s="29">
        <f t="shared" si="0"/>
        <v>-5070</v>
      </c>
      <c r="F61" s="39">
        <f t="shared" si="1"/>
        <v>0.66200000000000003</v>
      </c>
    </row>
    <row r="62" spans="1:6" ht="31.5" customHeight="1" x14ac:dyDescent="0.2">
      <c r="A62" s="51" t="s">
        <v>30</v>
      </c>
      <c r="B62" s="18" t="s">
        <v>102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v>800</v>
      </c>
      <c r="D63" s="33">
        <f>C63+520</f>
        <v>1320</v>
      </c>
      <c r="E63" s="29">
        <f t="shared" si="0"/>
        <v>520</v>
      </c>
      <c r="F63" s="39">
        <f t="shared" si="1"/>
        <v>1.65</v>
      </c>
    </row>
    <row r="64" spans="1:6" ht="32.25" customHeight="1" x14ac:dyDescent="0.2">
      <c r="A64" s="94" t="s">
        <v>135</v>
      </c>
      <c r="B64" s="95" t="s">
        <v>114</v>
      </c>
      <c r="C64" s="107">
        <v>5000</v>
      </c>
      <c r="D64" s="107">
        <f>C64-1700</f>
        <v>3300</v>
      </c>
      <c r="E64" s="83">
        <f t="shared" si="0"/>
        <v>-1700</v>
      </c>
      <c r="F64" s="108">
        <f t="shared" si="1"/>
        <v>0.66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F64"/>
  <sheetViews>
    <sheetView showGridLines="0" view="pageBreakPreview" zoomScale="55" zoomScaleNormal="70" zoomScaleSheetLayoutView="55" workbookViewId="0">
      <pane xSplit="1" ySplit="6" topLeftCell="B40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3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2016 ROK Z DNIA 28 GRUDNIA 2016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65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196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198</v>
      </c>
      <c r="C6" s="102">
        <f>C7+C8+C9+C14+C15+C16+C17+C18+C19+C20+C21+C22+C23+C24+C28+C29+C31+C32+C33</f>
        <v>6016210</v>
      </c>
      <c r="D6" s="102">
        <f>D7+D8+D9+D14+D15+D16+D17+D18+D19+D20+D21+D22+D23+D24+D28+D29+D31+D32+D33</f>
        <v>6016210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832002</v>
      </c>
      <c r="D7" s="13">
        <f>C7</f>
        <v>832002</v>
      </c>
      <c r="E7" s="38" t="str">
        <f t="shared" ref="E7:E64" si="0">IF(C7=D7,"-",D7-C7)</f>
        <v>-</v>
      </c>
      <c r="F7" s="39">
        <f t="shared" ref="F7:F64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504947</v>
      </c>
      <c r="D8" s="13">
        <f>C8</f>
        <v>504947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2944926</v>
      </c>
      <c r="D9" s="13">
        <f t="shared" ref="D9:D33" si="2">C9</f>
        <v>2944926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49" t="s">
        <v>55</v>
      </c>
      <c r="B10" s="45" t="s">
        <v>140</v>
      </c>
      <c r="C10" s="31">
        <v>320551</v>
      </c>
      <c r="D10" s="13">
        <f t="shared" si="2"/>
        <v>320551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291369</v>
      </c>
      <c r="D11" s="13">
        <f t="shared" si="2"/>
        <v>291369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117593</v>
      </c>
      <c r="D12" s="13">
        <f t="shared" si="2"/>
        <v>117593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58839</v>
      </c>
      <c r="D13" s="13">
        <f t="shared" si="2"/>
        <v>58839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181715</v>
      </c>
      <c r="D14" s="13">
        <f t="shared" si="2"/>
        <v>181715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189400</v>
      </c>
      <c r="D15" s="13">
        <f t="shared" si="2"/>
        <v>189400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134400</v>
      </c>
      <c r="D16" s="13">
        <f t="shared" si="2"/>
        <v>134400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40858</v>
      </c>
      <c r="D17" s="13">
        <f t="shared" si="2"/>
        <v>40858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191785</v>
      </c>
      <c r="D18" s="13">
        <f t="shared" si="2"/>
        <v>191785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51000</v>
      </c>
      <c r="D19" s="13">
        <f t="shared" si="2"/>
        <v>51000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1701</v>
      </c>
      <c r="D20" s="13">
        <f t="shared" si="2"/>
        <v>1701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14503</v>
      </c>
      <c r="D21" s="13">
        <f t="shared" si="2"/>
        <v>14503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155662</v>
      </c>
      <c r="D22" s="13">
        <f t="shared" si="2"/>
        <v>155662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76000</v>
      </c>
      <c r="D23" s="13">
        <f t="shared" si="2"/>
        <v>76000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682300</v>
      </c>
      <c r="D24" s="31">
        <f>SUM(D25:D27)</f>
        <v>682300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678300</v>
      </c>
      <c r="D25" s="13">
        <f t="shared" si="2"/>
        <v>678300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3000</v>
      </c>
      <c r="D26" s="13">
        <f t="shared" si="2"/>
        <v>3000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15011</v>
      </c>
      <c r="D32" s="13">
        <f t="shared" si="2"/>
        <v>15011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s="2" customFormat="1" ht="31.5" customHeight="1" x14ac:dyDescent="0.2">
      <c r="A34" s="52" t="s">
        <v>57</v>
      </c>
      <c r="B34" s="17" t="s">
        <v>58</v>
      </c>
      <c r="C34" s="32">
        <v>0</v>
      </c>
      <c r="D34" s="37">
        <f>C34</f>
        <v>0</v>
      </c>
      <c r="E34" s="7" t="str">
        <f t="shared" si="0"/>
        <v>-</v>
      </c>
      <c r="F34" s="40" t="str">
        <f t="shared" si="1"/>
        <v>-</v>
      </c>
    </row>
    <row r="35" spans="1:6" s="2" customFormat="1" ht="31.5" customHeight="1" x14ac:dyDescent="0.2">
      <c r="A35" s="52" t="s">
        <v>56</v>
      </c>
      <c r="B35" s="17" t="s">
        <v>59</v>
      </c>
      <c r="C35" s="32">
        <v>146114</v>
      </c>
      <c r="D35" s="37">
        <f>C35</f>
        <v>146114</v>
      </c>
      <c r="E35" s="7" t="str">
        <f t="shared" si="0"/>
        <v>-</v>
      </c>
      <c r="F35" s="40">
        <f t="shared" si="1"/>
        <v>1</v>
      </c>
    </row>
    <row r="36" spans="1:6" s="2" customFormat="1" ht="40.5" x14ac:dyDescent="0.2">
      <c r="A36" s="52" t="s">
        <v>188</v>
      </c>
      <c r="B36" s="17" t="s">
        <v>189</v>
      </c>
      <c r="C36" s="32">
        <v>11131</v>
      </c>
      <c r="D36" s="37">
        <f>C36</f>
        <v>11131</v>
      </c>
      <c r="E36" s="7" t="str">
        <f t="shared" si="0"/>
        <v>-</v>
      </c>
      <c r="F36" s="40">
        <f t="shared" si="1"/>
        <v>1</v>
      </c>
    </row>
    <row r="37" spans="1:6" s="2" customFormat="1" ht="42.75" customHeight="1" x14ac:dyDescent="0.2">
      <c r="A37" s="52" t="s">
        <v>155</v>
      </c>
      <c r="B37" s="17" t="s">
        <v>156</v>
      </c>
      <c r="C37" s="32">
        <f>C11+C13+C24+C30</f>
        <v>1032508</v>
      </c>
      <c r="D37" s="32">
        <f>D11+D13+D24+D30</f>
        <v>1032508</v>
      </c>
      <c r="E37" s="7" t="str">
        <f t="shared" si="0"/>
        <v>-</v>
      </c>
      <c r="F37" s="40">
        <f t="shared" si="1"/>
        <v>1</v>
      </c>
    </row>
    <row r="38" spans="1:6" ht="30" customHeight="1" x14ac:dyDescent="0.2">
      <c r="A38" s="104" t="s">
        <v>16</v>
      </c>
      <c r="B38" s="105" t="s">
        <v>186</v>
      </c>
      <c r="C38" s="87">
        <f>C39+C40+C41+C49+C51+C57+C58+C56</f>
        <v>43721</v>
      </c>
      <c r="D38" s="87">
        <f>D39+D40+D41+D49+D51+D57+D58+D56</f>
        <v>43721</v>
      </c>
      <c r="E38" s="83" t="str">
        <f t="shared" si="0"/>
        <v>-</v>
      </c>
      <c r="F38" s="106">
        <f t="shared" si="1"/>
        <v>1</v>
      </c>
    </row>
    <row r="39" spans="1:6" ht="28.5" customHeight="1" x14ac:dyDescent="0.2">
      <c r="A39" s="51" t="s">
        <v>17</v>
      </c>
      <c r="B39" s="18" t="s">
        <v>18</v>
      </c>
      <c r="C39" s="31">
        <v>1728</v>
      </c>
      <c r="D39" s="33">
        <f>C39</f>
        <v>1728</v>
      </c>
      <c r="E39" s="38" t="str">
        <f t="shared" si="0"/>
        <v>-</v>
      </c>
      <c r="F39" s="39">
        <f t="shared" si="1"/>
        <v>1</v>
      </c>
    </row>
    <row r="40" spans="1:6" ht="28.5" customHeight="1" x14ac:dyDescent="0.2">
      <c r="A40" s="51" t="s">
        <v>19</v>
      </c>
      <c r="B40" s="18" t="s">
        <v>20</v>
      </c>
      <c r="C40" s="31">
        <v>5673</v>
      </c>
      <c r="D40" s="33">
        <f t="shared" ref="D40:D58" si="3">C40</f>
        <v>5673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21</v>
      </c>
      <c r="B41" s="19" t="s">
        <v>187</v>
      </c>
      <c r="C41" s="33">
        <f>C42+C44+C45+C46+C47+C48</f>
        <v>286</v>
      </c>
      <c r="D41" s="33">
        <f>D42+D44+D45+D46+D47+D48</f>
        <v>286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3" t="s">
        <v>38</v>
      </c>
      <c r="B42" s="46" t="s">
        <v>31</v>
      </c>
      <c r="C42" s="31">
        <v>24</v>
      </c>
      <c r="D42" s="33">
        <f t="shared" si="3"/>
        <v>24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39</v>
      </c>
      <c r="B43" s="47" t="s">
        <v>32</v>
      </c>
      <c r="C43" s="31">
        <v>24</v>
      </c>
      <c r="D43" s="33">
        <f t="shared" si="3"/>
        <v>24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40</v>
      </c>
      <c r="B44" s="46" t="s">
        <v>33</v>
      </c>
      <c r="C44" s="31">
        <v>53</v>
      </c>
      <c r="D44" s="33">
        <f t="shared" si="3"/>
        <v>53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41</v>
      </c>
      <c r="B45" s="46" t="s">
        <v>34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42</v>
      </c>
      <c r="B46" s="46" t="s">
        <v>35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43</v>
      </c>
      <c r="B47" s="46" t="s">
        <v>36</v>
      </c>
      <c r="C47" s="31">
        <v>150</v>
      </c>
      <c r="D47" s="33">
        <f t="shared" si="3"/>
        <v>150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53" t="s">
        <v>44</v>
      </c>
      <c r="B48" s="46" t="s">
        <v>37</v>
      </c>
      <c r="C48" s="31">
        <v>59</v>
      </c>
      <c r="D48" s="33">
        <f t="shared" si="3"/>
        <v>59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1" t="s">
        <v>22</v>
      </c>
      <c r="B49" s="18" t="s">
        <v>157</v>
      </c>
      <c r="C49" s="31">
        <v>23528</v>
      </c>
      <c r="D49" s="33">
        <f t="shared" si="3"/>
        <v>23528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3" t="s">
        <v>158</v>
      </c>
      <c r="B50" s="46" t="s">
        <v>159</v>
      </c>
      <c r="C50" s="31">
        <v>24</v>
      </c>
      <c r="D50" s="33">
        <f t="shared" si="3"/>
        <v>24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1" t="s">
        <v>23</v>
      </c>
      <c r="B51" s="19" t="s">
        <v>185</v>
      </c>
      <c r="C51" s="29">
        <f>C52+C53+C54+C55</f>
        <v>5251</v>
      </c>
      <c r="D51" s="29">
        <f>D52+D53+D54+D55</f>
        <v>5251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3" t="s">
        <v>49</v>
      </c>
      <c r="B52" s="46" t="s">
        <v>45</v>
      </c>
      <c r="C52" s="31">
        <v>4044</v>
      </c>
      <c r="D52" s="33">
        <f t="shared" si="3"/>
        <v>4044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50</v>
      </c>
      <c r="B53" s="46" t="s">
        <v>46</v>
      </c>
      <c r="C53" s="31">
        <v>576</v>
      </c>
      <c r="D53" s="33">
        <f t="shared" si="3"/>
        <v>576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51</v>
      </c>
      <c r="B54" s="46" t="s">
        <v>47</v>
      </c>
      <c r="C54" s="31">
        <v>0</v>
      </c>
      <c r="D54" s="33">
        <f t="shared" si="3"/>
        <v>0</v>
      </c>
      <c r="E54" s="38" t="str">
        <f t="shared" si="0"/>
        <v>-</v>
      </c>
      <c r="F54" s="39" t="str">
        <f t="shared" si="1"/>
        <v>-</v>
      </c>
    </row>
    <row r="55" spans="1:6" ht="28.5" customHeight="1" x14ac:dyDescent="0.2">
      <c r="A55" s="53" t="s">
        <v>52</v>
      </c>
      <c r="B55" s="46" t="s">
        <v>48</v>
      </c>
      <c r="C55" s="31">
        <v>631</v>
      </c>
      <c r="D55" s="33">
        <f t="shared" si="3"/>
        <v>631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51" t="s">
        <v>24</v>
      </c>
      <c r="B56" s="18" t="s">
        <v>25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51" t="s">
        <v>26</v>
      </c>
      <c r="B57" s="18" t="s">
        <v>160</v>
      </c>
      <c r="C57" s="31">
        <v>6950</v>
      </c>
      <c r="D57" s="33">
        <f t="shared" si="3"/>
        <v>6950</v>
      </c>
      <c r="E57" s="38" t="str">
        <f t="shared" si="0"/>
        <v>-</v>
      </c>
      <c r="F57" s="41">
        <f t="shared" si="1"/>
        <v>1</v>
      </c>
    </row>
    <row r="58" spans="1:6" ht="28.5" customHeight="1" x14ac:dyDescent="0.2">
      <c r="A58" s="51" t="s">
        <v>27</v>
      </c>
      <c r="B58" s="18" t="s">
        <v>28</v>
      </c>
      <c r="C58" s="31">
        <v>305</v>
      </c>
      <c r="D58" s="33">
        <f t="shared" si="3"/>
        <v>305</v>
      </c>
      <c r="E58" s="38" t="str">
        <f t="shared" si="0"/>
        <v>-</v>
      </c>
      <c r="F58" s="39">
        <f t="shared" si="1"/>
        <v>1</v>
      </c>
    </row>
    <row r="59" spans="1:6" ht="30" customHeight="1" x14ac:dyDescent="0.2">
      <c r="A59" s="94" t="s">
        <v>133</v>
      </c>
      <c r="B59" s="95" t="s">
        <v>161</v>
      </c>
      <c r="C59" s="107">
        <f>C60+C61+C62+C63</f>
        <v>19360</v>
      </c>
      <c r="D59" s="107">
        <f>D60+D61+D62+D63</f>
        <v>12765</v>
      </c>
      <c r="E59" s="83">
        <f t="shared" si="0"/>
        <v>-6595</v>
      </c>
      <c r="F59" s="108">
        <f t="shared" si="1"/>
        <v>0.6593</v>
      </c>
    </row>
    <row r="60" spans="1:6" ht="42" customHeight="1" x14ac:dyDescent="0.2">
      <c r="A60" s="51" t="s">
        <v>100</v>
      </c>
      <c r="B60" s="18" t="s">
        <v>113</v>
      </c>
      <c r="C60" s="31">
        <v>0</v>
      </c>
      <c r="D60" s="33">
        <f>C60</f>
        <v>0</v>
      </c>
      <c r="E60" s="29" t="str">
        <f t="shared" si="0"/>
        <v>-</v>
      </c>
      <c r="F60" s="39" t="str">
        <f t="shared" si="1"/>
        <v>-</v>
      </c>
    </row>
    <row r="61" spans="1:6" ht="31.5" customHeight="1" x14ac:dyDescent="0.2">
      <c r="A61" s="51" t="s">
        <v>29</v>
      </c>
      <c r="B61" s="18" t="s">
        <v>54</v>
      </c>
      <c r="C61" s="31">
        <v>16095</v>
      </c>
      <c r="D61" s="33">
        <f>C61-6595</f>
        <v>9500</v>
      </c>
      <c r="E61" s="29">
        <f t="shared" si="0"/>
        <v>-6595</v>
      </c>
      <c r="F61" s="39">
        <f t="shared" si="1"/>
        <v>0.59019999999999995</v>
      </c>
    </row>
    <row r="62" spans="1:6" ht="31.5" customHeight="1" x14ac:dyDescent="0.2">
      <c r="A62" s="51" t="s">
        <v>30</v>
      </c>
      <c r="B62" s="18" t="s">
        <v>102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101</v>
      </c>
      <c r="B63" s="18" t="s">
        <v>103</v>
      </c>
      <c r="C63" s="31">
        <v>3265</v>
      </c>
      <c r="D63" s="33">
        <f>C63</f>
        <v>3265</v>
      </c>
      <c r="E63" s="29" t="str">
        <f t="shared" si="0"/>
        <v>-</v>
      </c>
      <c r="F63" s="39">
        <f t="shared" si="1"/>
        <v>1</v>
      </c>
    </row>
    <row r="64" spans="1:6" ht="32.25" customHeight="1" x14ac:dyDescent="0.2">
      <c r="A64" s="94" t="s">
        <v>135</v>
      </c>
      <c r="B64" s="95" t="s">
        <v>114</v>
      </c>
      <c r="C64" s="107">
        <v>300</v>
      </c>
      <c r="D64" s="107">
        <f>C64+6595</f>
        <v>6895</v>
      </c>
      <c r="E64" s="83">
        <f t="shared" si="0"/>
        <v>6595</v>
      </c>
      <c r="F64" s="108">
        <f t="shared" si="1"/>
        <v>22.9833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Szeligowska Elżbieta</dc:creator>
  <cp:lastModifiedBy>Mackiewicz Marian</cp:lastModifiedBy>
  <cp:lastPrinted>2016-12-05T15:06:59Z</cp:lastPrinted>
  <dcterms:created xsi:type="dcterms:W3CDTF">2005-07-21T09:51:05Z</dcterms:created>
  <dcterms:modified xsi:type="dcterms:W3CDTF">2017-01-05T10:06:15Z</dcterms:modified>
</cp:coreProperties>
</file>