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765" windowWidth="19440" windowHeight="11700" tabRatio="915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  <sheet name="Łącznie" sheetId="24" r:id="rId20"/>
    <sheet name="Plan po zm. łącznie  NFZ" sheetId="25" r:id="rId21"/>
  </sheets>
  <externalReferences>
    <externalReference r:id="rId22"/>
    <externalReference r:id="rId23"/>
    <externalReference r:id="rId24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WarmińskoMazurski!$A$6:$C$64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CENTRALA!$A$1:$F$65</definedName>
    <definedName name="_xlnm.Print_Area" localSheetId="3">Dolnośląski!$A$1:$F$65</definedName>
    <definedName name="_xlnm.Print_Area" localSheetId="4">KujawskoPomorski!$A$1:$F$65</definedName>
    <definedName name="_xlnm.Print_Area" localSheetId="5">Lubelski!$A$1:$F$65</definedName>
    <definedName name="_xlnm.Print_Area" localSheetId="6">Lubuski!$A$1:$F$65</definedName>
    <definedName name="_xlnm.Print_Area" localSheetId="19">Łącznie!$A$3:$T$59</definedName>
    <definedName name="_xlnm.Print_Area" localSheetId="7">Łódzki!$A$1:$F$65</definedName>
    <definedName name="_xlnm.Print_Area" localSheetId="8">Małopolski!$A$1:$F$65</definedName>
    <definedName name="_xlnm.Print_Area" localSheetId="9">Mazowiecki!$A$1:$F$65</definedName>
    <definedName name="_xlnm.Print_Area" localSheetId="0">NFZ!$A$1:$F$93</definedName>
    <definedName name="_xlnm.Print_Area" localSheetId="10">Opolski!$A$1:$F$65</definedName>
    <definedName name="_xlnm.Print_Area" localSheetId="20">'Plan po zm. łącznie  NFZ'!$B$71:$C$89</definedName>
    <definedName name="_xlnm.Print_Area" localSheetId="11">Podkarpacki!$A$1:$F$65</definedName>
    <definedName name="_xlnm.Print_Area" localSheetId="12">Podlaski!$A$1:$F$65</definedName>
    <definedName name="_xlnm.Print_Area" localSheetId="13">Pomorski!$A$1:$F$65</definedName>
    <definedName name="_xlnm.Print_Area" localSheetId="2">'Razem OW'!$A$1:$F$65</definedName>
    <definedName name="_xlnm.Print_Area" localSheetId="14">Śląski!$A$1:$F$65</definedName>
    <definedName name="_xlnm.Print_Area" localSheetId="15">Świętokrzyski!$A$1:$F$65</definedName>
    <definedName name="_xlnm.Print_Area" localSheetId="16">WarmińskoMazurski!$A$1:$F$65</definedName>
    <definedName name="_xlnm.Print_Area" localSheetId="17">Wielkopolski!$A$1:$F$65</definedName>
    <definedName name="_xlnm.Print_Area" localSheetId="18">Zachodniopomorski!$A$1:$F$65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_xlnm.Print_Titles" localSheetId="20">'Plan po zm. łącznie  NFZ'!$A:$B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45621" fullPrecision="0"/>
</workbook>
</file>

<file path=xl/calcChain.xml><?xml version="1.0" encoding="utf-8"?>
<calcChain xmlns="http://schemas.openxmlformats.org/spreadsheetml/2006/main">
  <c r="I16" i="23" l="1"/>
  <c r="I6" i="23"/>
  <c r="I18" i="23" s="1"/>
  <c r="I17" i="23"/>
  <c r="D29" i="3"/>
  <c r="D25" i="3"/>
  <c r="D23" i="3"/>
  <c r="D22" i="3"/>
  <c r="D19" i="3"/>
  <c r="D17" i="3"/>
  <c r="D16" i="3"/>
  <c r="D14" i="3"/>
  <c r="D9" i="3"/>
  <c r="D8" i="3"/>
  <c r="D7" i="3"/>
  <c r="D9" i="5"/>
  <c r="D32" i="6"/>
  <c r="D29" i="6"/>
  <c r="D26" i="6"/>
  <c r="D25" i="6"/>
  <c r="D23" i="6"/>
  <c r="D11" i="6"/>
  <c r="D10" i="6"/>
  <c r="D9" i="6"/>
  <c r="D8" i="6"/>
  <c r="D29" i="7"/>
  <c r="D11" i="7"/>
  <c r="D10" i="7"/>
  <c r="D9" i="7"/>
  <c r="D7" i="7"/>
  <c r="D29" i="8"/>
  <c r="D25" i="8"/>
  <c r="D17" i="8"/>
  <c r="D16" i="8"/>
  <c r="D11" i="8"/>
  <c r="D10" i="8"/>
  <c r="D9" i="8"/>
  <c r="D8" i="8"/>
  <c r="D22" i="9"/>
  <c r="D16" i="9"/>
  <c r="D15" i="9"/>
  <c r="D9" i="9"/>
  <c r="D7" i="9"/>
  <c r="D9" i="10"/>
  <c r="D29" i="11"/>
  <c r="D23" i="11"/>
  <c r="D17" i="11"/>
  <c r="D16" i="11"/>
  <c r="D15" i="11"/>
  <c r="D13" i="11"/>
  <c r="D12" i="11"/>
  <c r="D11" i="11"/>
  <c r="D10" i="11"/>
  <c r="D9" i="11"/>
  <c r="D8" i="11"/>
  <c r="D7" i="11"/>
  <c r="D29" i="12"/>
  <c r="D25" i="12"/>
  <c r="D23" i="12"/>
  <c r="D22" i="12"/>
  <c r="D21" i="12"/>
  <c r="D17" i="12"/>
  <c r="D16" i="12"/>
  <c r="D15" i="12"/>
  <c r="D14" i="12"/>
  <c r="D11" i="12"/>
  <c r="D10" i="12"/>
  <c r="D9" i="12"/>
  <c r="D8" i="12"/>
  <c r="D29" i="13"/>
  <c r="D14" i="13"/>
  <c r="D13" i="13"/>
  <c r="D12" i="13"/>
  <c r="D11" i="13"/>
  <c r="D10" i="13"/>
  <c r="D9" i="13"/>
  <c r="D7" i="13"/>
  <c r="D29" i="14"/>
  <c r="D25" i="14"/>
  <c r="D23" i="14"/>
  <c r="D13" i="14"/>
  <c r="D12" i="14"/>
  <c r="D11" i="14"/>
  <c r="D10" i="14"/>
  <c r="D9" i="14"/>
  <c r="D8" i="14"/>
  <c r="D7" i="14"/>
  <c r="D29" i="15"/>
  <c r="D25" i="15"/>
  <c r="D13" i="15"/>
  <c r="D12" i="15"/>
  <c r="D11" i="15"/>
  <c r="D10" i="15"/>
  <c r="D9" i="15"/>
  <c r="D8" i="15"/>
  <c r="D7" i="15"/>
  <c r="D22" i="16"/>
  <c r="D15" i="16"/>
  <c r="D9" i="16"/>
  <c r="D7" i="16"/>
  <c r="D9" i="17"/>
  <c r="D7" i="17"/>
  <c r="D32" i="18"/>
  <c r="D23" i="18"/>
  <c r="D22" i="18"/>
  <c r="D16" i="18"/>
  <c r="D15" i="18"/>
  <c r="D9" i="18"/>
  <c r="D8" i="18"/>
  <c r="D7" i="18"/>
  <c r="D29" i="19"/>
  <c r="D22" i="19"/>
  <c r="D17" i="19"/>
  <c r="D16" i="19"/>
  <c r="D15" i="19"/>
  <c r="D14" i="19"/>
  <c r="D10" i="19"/>
  <c r="D9" i="19"/>
  <c r="D54" i="22"/>
  <c r="D53" i="22"/>
  <c r="D40" i="22"/>
  <c r="D33" i="22"/>
  <c r="D29" i="22"/>
  <c r="D81" i="23"/>
  <c r="D17" i="23"/>
  <c r="D16" i="23"/>
  <c r="D8" i="23"/>
  <c r="D7" i="23"/>
  <c r="D59" i="22"/>
  <c r="D56" i="22"/>
  <c r="D50" i="22"/>
  <c r="D41" i="22"/>
  <c r="D18" i="23" l="1"/>
  <c r="D22" i="23"/>
  <c r="D56" i="3"/>
  <c r="C52" i="3"/>
  <c r="D51" i="3"/>
  <c r="D47" i="3"/>
  <c r="D43" i="3"/>
  <c r="D41" i="3"/>
  <c r="D36" i="3"/>
  <c r="D35" i="3"/>
  <c r="D32" i="3"/>
  <c r="D28" i="3"/>
  <c r="D15" i="3"/>
  <c r="D65" i="5"/>
  <c r="D63" i="5"/>
  <c r="D62" i="5"/>
  <c r="D61" i="5"/>
  <c r="D56" i="5"/>
  <c r="D54" i="5"/>
  <c r="D53" i="5"/>
  <c r="D51" i="5"/>
  <c r="D49" i="5"/>
  <c r="D48" i="5"/>
  <c r="D47" i="5"/>
  <c r="D45" i="5"/>
  <c r="D44" i="5"/>
  <c r="D43" i="5"/>
  <c r="D36" i="5"/>
  <c r="D34" i="5"/>
  <c r="D33" i="5"/>
  <c r="D32" i="5"/>
  <c r="D30" i="5"/>
  <c r="D29" i="5"/>
  <c r="D28" i="5"/>
  <c r="D26" i="5"/>
  <c r="D25" i="5"/>
  <c r="D20" i="5"/>
  <c r="D18" i="5"/>
  <c r="D17" i="5"/>
  <c r="D16" i="5"/>
  <c r="D14" i="5"/>
  <c r="D13" i="5"/>
  <c r="D12" i="5"/>
  <c r="D10" i="5"/>
  <c r="D8" i="5"/>
  <c r="D65" i="6"/>
  <c r="D64" i="6"/>
  <c r="C60" i="6"/>
  <c r="D59" i="6"/>
  <c r="D55" i="6"/>
  <c r="D51" i="6"/>
  <c r="D47" i="6"/>
  <c r="D43" i="6"/>
  <c r="D41" i="6"/>
  <c r="D36" i="6"/>
  <c r="D35" i="6"/>
  <c r="D28" i="6"/>
  <c r="D20" i="6"/>
  <c r="D19" i="6"/>
  <c r="D16" i="6"/>
  <c r="D15" i="6"/>
  <c r="D12" i="6"/>
  <c r="C38" i="6"/>
  <c r="D7" i="6"/>
  <c r="D65" i="7"/>
  <c r="D61" i="7"/>
  <c r="D58" i="7"/>
  <c r="D57" i="7"/>
  <c r="D56" i="7"/>
  <c r="D54" i="7"/>
  <c r="D53" i="7"/>
  <c r="D51" i="7"/>
  <c r="D48" i="7"/>
  <c r="D47" i="7"/>
  <c r="D43" i="7"/>
  <c r="D40" i="7"/>
  <c r="D37" i="7"/>
  <c r="D36" i="7"/>
  <c r="D34" i="7"/>
  <c r="D33" i="7"/>
  <c r="D32" i="7"/>
  <c r="D28" i="7"/>
  <c r="D22" i="7"/>
  <c r="D21" i="7"/>
  <c r="D20" i="7"/>
  <c r="D18" i="7"/>
  <c r="D17" i="7"/>
  <c r="D16" i="7"/>
  <c r="D15" i="7"/>
  <c r="D12" i="7"/>
  <c r="D8" i="7"/>
  <c r="D51" i="8"/>
  <c r="D47" i="8"/>
  <c r="D43" i="8"/>
  <c r="D41" i="8"/>
  <c r="D36" i="8"/>
  <c r="D35" i="8"/>
  <c r="D32" i="8"/>
  <c r="D31" i="8"/>
  <c r="D28" i="8"/>
  <c r="D27" i="8"/>
  <c r="D23" i="8"/>
  <c r="D20" i="8"/>
  <c r="D19" i="8"/>
  <c r="D15" i="8"/>
  <c r="D12" i="8"/>
  <c r="D62" i="9"/>
  <c r="D58" i="9"/>
  <c r="D57" i="9"/>
  <c r="D54" i="9"/>
  <c r="D49" i="9"/>
  <c r="D48" i="9"/>
  <c r="D44" i="9"/>
  <c r="D40" i="9"/>
  <c r="D37" i="9"/>
  <c r="D34" i="9"/>
  <c r="D33" i="9"/>
  <c r="D29" i="9"/>
  <c r="D26" i="9"/>
  <c r="D25" i="9"/>
  <c r="D21" i="9"/>
  <c r="D18" i="9"/>
  <c r="D17" i="9"/>
  <c r="D13" i="9"/>
  <c r="D10" i="9"/>
  <c r="D65" i="10"/>
  <c r="D64" i="10"/>
  <c r="D62" i="10"/>
  <c r="D59" i="10"/>
  <c r="D57" i="10"/>
  <c r="D55" i="10"/>
  <c r="D53" i="10"/>
  <c r="D50" i="10"/>
  <c r="D46" i="10"/>
  <c r="D44" i="10"/>
  <c r="D43" i="10"/>
  <c r="D37" i="10"/>
  <c r="D35" i="10"/>
  <c r="D33" i="10"/>
  <c r="D29" i="10"/>
  <c r="D28" i="10"/>
  <c r="D27" i="10"/>
  <c r="D25" i="10"/>
  <c r="D23" i="10"/>
  <c r="D21" i="10"/>
  <c r="D20" i="10"/>
  <c r="D19" i="10"/>
  <c r="D17" i="10"/>
  <c r="D16" i="10"/>
  <c r="D15" i="10"/>
  <c r="D13" i="10"/>
  <c r="D12" i="10"/>
  <c r="D8" i="10"/>
  <c r="D65" i="11"/>
  <c r="D63" i="11"/>
  <c r="D62" i="11"/>
  <c r="D61" i="11"/>
  <c r="D58" i="11"/>
  <c r="D57" i="11"/>
  <c r="D54" i="11"/>
  <c r="D53" i="11"/>
  <c r="D51" i="11"/>
  <c r="D49" i="11"/>
  <c r="D48" i="11"/>
  <c r="D47" i="11"/>
  <c r="D45" i="11"/>
  <c r="D44" i="11"/>
  <c r="D43" i="11"/>
  <c r="D34" i="11"/>
  <c r="D33" i="11"/>
  <c r="D30" i="11"/>
  <c r="D26" i="11"/>
  <c r="D22" i="11"/>
  <c r="D21" i="11"/>
  <c r="D20" i="11"/>
  <c r="D14" i="11"/>
  <c r="D65" i="12"/>
  <c r="D64" i="12"/>
  <c r="D61" i="12"/>
  <c r="D59" i="12"/>
  <c r="D56" i="12"/>
  <c r="D51" i="12"/>
  <c r="D47" i="12"/>
  <c r="D46" i="12"/>
  <c r="D43" i="12"/>
  <c r="D36" i="12"/>
  <c r="D35" i="12"/>
  <c r="D32" i="12"/>
  <c r="D31" i="12"/>
  <c r="D28" i="12"/>
  <c r="D27" i="12"/>
  <c r="D20" i="12"/>
  <c r="D12" i="12"/>
  <c r="D65" i="13"/>
  <c r="D62" i="13"/>
  <c r="D56" i="13"/>
  <c r="D54" i="13"/>
  <c r="D49" i="13"/>
  <c r="D48" i="13"/>
  <c r="D45" i="13"/>
  <c r="D44" i="13"/>
  <c r="D37" i="13"/>
  <c r="D36" i="13"/>
  <c r="D33" i="13"/>
  <c r="D32" i="13"/>
  <c r="D30" i="13"/>
  <c r="D28" i="13"/>
  <c r="D26" i="13"/>
  <c r="D22" i="13"/>
  <c r="D21" i="13"/>
  <c r="D20" i="13"/>
  <c r="D17" i="13"/>
  <c r="D16" i="13"/>
  <c r="D8" i="13"/>
  <c r="D65" i="14"/>
  <c r="D64" i="14"/>
  <c r="D59" i="14"/>
  <c r="D56" i="14"/>
  <c r="D51" i="14"/>
  <c r="D50" i="14"/>
  <c r="D47" i="14"/>
  <c r="D46" i="14"/>
  <c r="D41" i="14"/>
  <c r="D35" i="14"/>
  <c r="D31" i="14"/>
  <c r="D27" i="14"/>
  <c r="D21" i="14"/>
  <c r="D20" i="14"/>
  <c r="D19" i="14"/>
  <c r="D17" i="14"/>
  <c r="D16" i="14"/>
  <c r="D61" i="15"/>
  <c r="D58" i="15"/>
  <c r="D57" i="15"/>
  <c r="D56" i="15"/>
  <c r="D53" i="15"/>
  <c r="D49" i="15"/>
  <c r="D48" i="15"/>
  <c r="D44" i="15"/>
  <c r="D37" i="15"/>
  <c r="D33" i="15"/>
  <c r="D30" i="15"/>
  <c r="D21" i="15"/>
  <c r="D20" i="15"/>
  <c r="D18" i="15"/>
  <c r="D17" i="15"/>
  <c r="D16" i="15"/>
  <c r="D14" i="15"/>
  <c r="D65" i="16"/>
  <c r="D63" i="16"/>
  <c r="D61" i="16"/>
  <c r="D59" i="16"/>
  <c r="D58" i="16"/>
  <c r="D55" i="16"/>
  <c r="D54" i="16"/>
  <c r="D51" i="16"/>
  <c r="D50" i="16"/>
  <c r="D47" i="16"/>
  <c r="D46" i="16"/>
  <c r="D41" i="16"/>
  <c r="D35" i="16"/>
  <c r="D34" i="16"/>
  <c r="D31" i="16"/>
  <c r="D30" i="16"/>
  <c r="D28" i="16"/>
  <c r="D26" i="16"/>
  <c r="D23" i="16"/>
  <c r="D21" i="16"/>
  <c r="D20" i="16"/>
  <c r="D19" i="16"/>
  <c r="D18" i="16"/>
  <c r="D17" i="16"/>
  <c r="D14" i="16"/>
  <c r="D13" i="16"/>
  <c r="D12" i="16"/>
  <c r="D56" i="17"/>
  <c r="D54" i="17"/>
  <c r="D53" i="17"/>
  <c r="D51" i="17"/>
  <c r="D49" i="17"/>
  <c r="D48" i="17"/>
  <c r="D47" i="17"/>
  <c r="D45" i="17"/>
  <c r="D44" i="17"/>
  <c r="D43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1" i="17"/>
  <c r="D17" i="17"/>
  <c r="D10" i="17"/>
  <c r="D58" i="18"/>
  <c r="D56" i="18"/>
  <c r="D55" i="18"/>
  <c r="D50" i="18"/>
  <c r="D49" i="18"/>
  <c r="D45" i="18"/>
  <c r="D43" i="18"/>
  <c r="D41" i="18"/>
  <c r="D40" i="18"/>
  <c r="D36" i="18"/>
  <c r="D28" i="18"/>
  <c r="D27" i="18"/>
  <c r="C38" i="18"/>
  <c r="C6" i="18"/>
  <c r="D63" i="22"/>
  <c r="D62" i="22"/>
  <c r="D58" i="22"/>
  <c r="D37" i="22"/>
  <c r="D34" i="22"/>
  <c r="D30" i="22"/>
  <c r="D26" i="22"/>
  <c r="D25" i="22"/>
  <c r="D23" i="22"/>
  <c r="D22" i="22"/>
  <c r="D21" i="22"/>
  <c r="D19" i="22"/>
  <c r="D17" i="22"/>
  <c r="D15" i="22"/>
  <c r="D14" i="22"/>
  <c r="D13" i="22"/>
  <c r="D11" i="22"/>
  <c r="D9" i="22"/>
  <c r="D65" i="22"/>
  <c r="D64" i="22"/>
  <c r="D61" i="22"/>
  <c r="D57" i="22"/>
  <c r="D55" i="22"/>
  <c r="C52" i="22"/>
  <c r="D51" i="22"/>
  <c r="D49" i="22"/>
  <c r="D48" i="22"/>
  <c r="D47" i="22"/>
  <c r="D46" i="22"/>
  <c r="D45" i="22"/>
  <c r="D44" i="22"/>
  <c r="D36" i="22"/>
  <c r="D35" i="22"/>
  <c r="D32" i="22"/>
  <c r="D31" i="22"/>
  <c r="D28" i="22"/>
  <c r="D27" i="22"/>
  <c r="D20" i="22"/>
  <c r="D18" i="22"/>
  <c r="D16" i="22"/>
  <c r="D12" i="22"/>
  <c r="D10" i="22"/>
  <c r="D8" i="22"/>
  <c r="D65" i="17"/>
  <c r="D64" i="17"/>
  <c r="D63" i="17"/>
  <c r="D62" i="17"/>
  <c r="D61" i="17"/>
  <c r="D59" i="17"/>
  <c r="D58" i="17"/>
  <c r="D57" i="17"/>
  <c r="D55" i="17"/>
  <c r="D50" i="17"/>
  <c r="D46" i="17"/>
  <c r="D41" i="17"/>
  <c r="D40" i="17"/>
  <c r="D37" i="17"/>
  <c r="D23" i="17"/>
  <c r="D22" i="17"/>
  <c r="D20" i="17"/>
  <c r="D19" i="17"/>
  <c r="D18" i="17"/>
  <c r="D16" i="17"/>
  <c r="D15" i="17"/>
  <c r="D14" i="17"/>
  <c r="D12" i="17"/>
  <c r="D11" i="17"/>
  <c r="D8" i="17"/>
  <c r="D64" i="16"/>
  <c r="D62" i="16"/>
  <c r="D57" i="16"/>
  <c r="D56" i="16"/>
  <c r="D53" i="16"/>
  <c r="D49" i="16"/>
  <c r="D48" i="16"/>
  <c r="D45" i="16"/>
  <c r="D44" i="16"/>
  <c r="D37" i="16"/>
  <c r="D36" i="16"/>
  <c r="D33" i="16"/>
  <c r="D32" i="16"/>
  <c r="D29" i="16"/>
  <c r="D27" i="16"/>
  <c r="D25" i="16"/>
  <c r="D16" i="16"/>
  <c r="D10" i="16"/>
  <c r="D65" i="15"/>
  <c r="D64" i="15"/>
  <c r="D62" i="15"/>
  <c r="D59" i="15"/>
  <c r="D55" i="15"/>
  <c r="D54" i="15"/>
  <c r="D51" i="15"/>
  <c r="D50" i="15"/>
  <c r="D47" i="15"/>
  <c r="D46" i="15"/>
  <c r="D45" i="15"/>
  <c r="D43" i="15"/>
  <c r="D41" i="15"/>
  <c r="D40" i="15"/>
  <c r="D36" i="15"/>
  <c r="D35" i="15"/>
  <c r="D34" i="15"/>
  <c r="D32" i="15"/>
  <c r="D31" i="15"/>
  <c r="D28" i="15"/>
  <c r="D27" i="15"/>
  <c r="D26" i="15"/>
  <c r="D23" i="15"/>
  <c r="D22" i="15"/>
  <c r="D19" i="15"/>
  <c r="D15" i="15"/>
  <c r="D63" i="14"/>
  <c r="D62" i="14"/>
  <c r="D58" i="14"/>
  <c r="D57" i="14"/>
  <c r="D55" i="14"/>
  <c r="D54" i="14"/>
  <c r="D49" i="14"/>
  <c r="D48" i="14"/>
  <c r="D45" i="14"/>
  <c r="D44" i="14"/>
  <c r="D40" i="14"/>
  <c r="D37" i="14"/>
  <c r="D36" i="14"/>
  <c r="D34" i="14"/>
  <c r="D33" i="14"/>
  <c r="D32" i="14"/>
  <c r="D30" i="14"/>
  <c r="D28" i="14"/>
  <c r="D26" i="14"/>
  <c r="D22" i="14"/>
  <c r="D18" i="14"/>
  <c r="D15" i="14"/>
  <c r="D14" i="14"/>
  <c r="D64" i="13"/>
  <c r="D63" i="13"/>
  <c r="D59" i="13"/>
  <c r="D58" i="13"/>
  <c r="D57" i="13"/>
  <c r="D55" i="13"/>
  <c r="D51" i="13"/>
  <c r="D50" i="13"/>
  <c r="D47" i="13"/>
  <c r="D46" i="13"/>
  <c r="D41" i="13"/>
  <c r="D40" i="13"/>
  <c r="D35" i="13"/>
  <c r="D34" i="13"/>
  <c r="D31" i="13"/>
  <c r="D27" i="13"/>
  <c r="D25" i="13"/>
  <c r="D23" i="13"/>
  <c r="D19" i="13"/>
  <c r="D18" i="13"/>
  <c r="D15" i="13"/>
  <c r="D63" i="12"/>
  <c r="D62" i="12"/>
  <c r="D58" i="12"/>
  <c r="D57" i="12"/>
  <c r="D55" i="12"/>
  <c r="D54" i="12"/>
  <c r="D53" i="12"/>
  <c r="D50" i="12"/>
  <c r="D49" i="12"/>
  <c r="D45" i="12"/>
  <c r="D44" i="12"/>
  <c r="D41" i="12"/>
  <c r="D37" i="12"/>
  <c r="D34" i="12"/>
  <c r="D33" i="12"/>
  <c r="D30" i="12"/>
  <c r="D26" i="12"/>
  <c r="D19" i="12"/>
  <c r="D18" i="12"/>
  <c r="D13" i="12"/>
  <c r="D7" i="12"/>
  <c r="D64" i="11"/>
  <c r="D59" i="11"/>
  <c r="D56" i="11"/>
  <c r="D55" i="11"/>
  <c r="D50" i="11"/>
  <c r="D46" i="11"/>
  <c r="D41" i="11"/>
  <c r="D37" i="11"/>
  <c r="D36" i="11"/>
  <c r="D35" i="11"/>
  <c r="D32" i="11"/>
  <c r="D31" i="11"/>
  <c r="D28" i="11"/>
  <c r="D27" i="11"/>
  <c r="D25" i="11"/>
  <c r="D19" i="11"/>
  <c r="D18" i="11"/>
  <c r="D63" i="10"/>
  <c r="D58" i="10"/>
  <c r="D56" i="10"/>
  <c r="D54" i="10"/>
  <c r="D51" i="10"/>
  <c r="D49" i="10"/>
  <c r="D47" i="10"/>
  <c r="D45" i="10"/>
  <c r="D40" i="10"/>
  <c r="D36" i="10"/>
  <c r="D34" i="10"/>
  <c r="D32" i="10"/>
  <c r="D31" i="10"/>
  <c r="D30" i="10"/>
  <c r="D26" i="10"/>
  <c r="D22" i="10"/>
  <c r="D18" i="10"/>
  <c r="D14" i="10"/>
  <c r="D10" i="10"/>
  <c r="D65" i="9"/>
  <c r="D64" i="9"/>
  <c r="D63" i="9"/>
  <c r="D59" i="9"/>
  <c r="D56" i="9"/>
  <c r="D55" i="9"/>
  <c r="D51" i="9"/>
  <c r="D50" i="9"/>
  <c r="D47" i="9"/>
  <c r="D46" i="9"/>
  <c r="D45" i="9"/>
  <c r="D41" i="9"/>
  <c r="D36" i="9"/>
  <c r="D35" i="9"/>
  <c r="D32" i="9"/>
  <c r="D31" i="9"/>
  <c r="D30" i="9"/>
  <c r="D28" i="9"/>
  <c r="D27" i="9"/>
  <c r="D23" i="9"/>
  <c r="D20" i="9"/>
  <c r="D19" i="9"/>
  <c r="D14" i="9"/>
  <c r="D12" i="9"/>
  <c r="D8" i="9"/>
  <c r="D65" i="8"/>
  <c r="D64" i="8"/>
  <c r="D63" i="8"/>
  <c r="D62" i="8"/>
  <c r="D61" i="8"/>
  <c r="D59" i="8"/>
  <c r="D58" i="8"/>
  <c r="D57" i="8"/>
  <c r="D56" i="8"/>
  <c r="D55" i="8"/>
  <c r="D54" i="8"/>
  <c r="D53" i="8"/>
  <c r="C52" i="8"/>
  <c r="D50" i="8"/>
  <c r="D49" i="8"/>
  <c r="D48" i="8"/>
  <c r="D46" i="8"/>
  <c r="D45" i="8"/>
  <c r="D44" i="8"/>
  <c r="D40" i="8"/>
  <c r="D37" i="8"/>
  <c r="D34" i="8"/>
  <c r="D33" i="8"/>
  <c r="D30" i="8"/>
  <c r="D26" i="8"/>
  <c r="D22" i="8"/>
  <c r="D21" i="8"/>
  <c r="D18" i="8"/>
  <c r="D14" i="8"/>
  <c r="D13" i="8"/>
  <c r="D64" i="7"/>
  <c r="D63" i="7"/>
  <c r="D62" i="7"/>
  <c r="D59" i="7"/>
  <c r="D55" i="7"/>
  <c r="D50" i="7"/>
  <c r="D49" i="7"/>
  <c r="D46" i="7"/>
  <c r="D45" i="7"/>
  <c r="D44" i="7"/>
  <c r="D41" i="7"/>
  <c r="D35" i="7"/>
  <c r="D31" i="7"/>
  <c r="D30" i="7"/>
  <c r="D27" i="7"/>
  <c r="D26" i="7"/>
  <c r="D25" i="7"/>
  <c r="D23" i="7"/>
  <c r="D19" i="7"/>
  <c r="D14" i="7"/>
  <c r="D13" i="7"/>
  <c r="D63" i="6"/>
  <c r="D62" i="6"/>
  <c r="D58" i="6"/>
  <c r="D57" i="6"/>
  <c r="D54" i="6"/>
  <c r="D50" i="6"/>
  <c r="D49" i="6"/>
  <c r="D48" i="6"/>
  <c r="D46" i="6"/>
  <c r="D45" i="6"/>
  <c r="D44" i="6"/>
  <c r="D40" i="6"/>
  <c r="D37" i="6"/>
  <c r="D34" i="6"/>
  <c r="D33" i="6"/>
  <c r="D31" i="6"/>
  <c r="D30" i="6"/>
  <c r="D27" i="6"/>
  <c r="D22" i="6"/>
  <c r="D21" i="6"/>
  <c r="D18" i="6"/>
  <c r="D17" i="6"/>
  <c r="D14" i="6"/>
  <c r="D13" i="6"/>
  <c r="D64" i="5"/>
  <c r="D59" i="5"/>
  <c r="D58" i="5"/>
  <c r="D57" i="5"/>
  <c r="D55" i="5"/>
  <c r="D50" i="5"/>
  <c r="D46" i="5"/>
  <c r="D41" i="5"/>
  <c r="D40" i="5"/>
  <c r="D37" i="5"/>
  <c r="D35" i="5"/>
  <c r="D31" i="5"/>
  <c r="D27" i="5"/>
  <c r="D23" i="5"/>
  <c r="D22" i="5"/>
  <c r="D21" i="5"/>
  <c r="D19" i="5"/>
  <c r="D15" i="5"/>
  <c r="D11" i="5"/>
  <c r="D7" i="5"/>
  <c r="D65" i="3"/>
  <c r="D64" i="3"/>
  <c r="D63" i="3"/>
  <c r="D62" i="3"/>
  <c r="D59" i="3"/>
  <c r="D58" i="3"/>
  <c r="D57" i="3"/>
  <c r="D54" i="3"/>
  <c r="D50" i="3"/>
  <c r="D49" i="3"/>
  <c r="D48" i="3"/>
  <c r="D46" i="3"/>
  <c r="D45" i="3"/>
  <c r="D44" i="3"/>
  <c r="D40" i="3"/>
  <c r="D37" i="3"/>
  <c r="D34" i="3"/>
  <c r="D33" i="3"/>
  <c r="D31" i="3"/>
  <c r="D30" i="3"/>
  <c r="D27" i="3"/>
  <c r="D26" i="3"/>
  <c r="D20" i="3"/>
  <c r="D18" i="3"/>
  <c r="D12" i="3"/>
  <c r="D10" i="3"/>
  <c r="D65" i="18"/>
  <c r="D64" i="18"/>
  <c r="D63" i="18"/>
  <c r="D62" i="18"/>
  <c r="D61" i="18"/>
  <c r="D59" i="18"/>
  <c r="D57" i="18"/>
  <c r="D53" i="18"/>
  <c r="D51" i="18"/>
  <c r="D48" i="18"/>
  <c r="D47" i="18"/>
  <c r="D46" i="18"/>
  <c r="D44" i="18"/>
  <c r="D37" i="18"/>
  <c r="D35" i="18"/>
  <c r="D34" i="18"/>
  <c r="D33" i="18"/>
  <c r="D31" i="18"/>
  <c r="D30" i="18"/>
  <c r="D29" i="18"/>
  <c r="D26" i="18"/>
  <c r="D25" i="18"/>
  <c r="D21" i="18"/>
  <c r="D20" i="18"/>
  <c r="D19" i="18"/>
  <c r="D18" i="18"/>
  <c r="D17" i="18"/>
  <c r="D14" i="18"/>
  <c r="D13" i="18"/>
  <c r="D12" i="18"/>
  <c r="D11" i="18"/>
  <c r="D10" i="18"/>
  <c r="D37" i="19"/>
  <c r="D24" i="11" l="1"/>
  <c r="D6" i="11" s="1"/>
  <c r="D24" i="15"/>
  <c r="D24" i="9"/>
  <c r="D6" i="9" s="1"/>
  <c r="C6" i="8"/>
  <c r="D7" i="8"/>
  <c r="D55" i="3"/>
  <c r="C52" i="11"/>
  <c r="D24" i="13"/>
  <c r="D38" i="13" s="1"/>
  <c r="C60" i="10"/>
  <c r="C38" i="8"/>
  <c r="D42" i="8"/>
  <c r="C6" i="6"/>
  <c r="D42" i="6"/>
  <c r="C60" i="11"/>
  <c r="C42" i="22"/>
  <c r="C39" i="22" s="1"/>
  <c r="C52" i="6"/>
  <c r="C34" i="20"/>
  <c r="D56" i="6"/>
  <c r="C52" i="10"/>
  <c r="D61" i="10"/>
  <c r="D60" i="10" s="1"/>
  <c r="C60" i="22"/>
  <c r="D24" i="12"/>
  <c r="D6" i="12" s="1"/>
  <c r="D24" i="14"/>
  <c r="C6" i="22"/>
  <c r="C6" i="3"/>
  <c r="C38" i="3"/>
  <c r="C60" i="3"/>
  <c r="C52" i="18"/>
  <c r="C60" i="18"/>
  <c r="C38" i="17"/>
  <c r="C60" i="17"/>
  <c r="D13" i="3"/>
  <c r="C42" i="5"/>
  <c r="D24" i="5"/>
  <c r="D6" i="5" s="1"/>
  <c r="C42" i="7"/>
  <c r="D24" i="7"/>
  <c r="D38" i="7" s="1"/>
  <c r="C38" i="9"/>
  <c r="C52" i="15"/>
  <c r="D52" i="15"/>
  <c r="D52" i="16"/>
  <c r="C52" i="16"/>
  <c r="D60" i="16"/>
  <c r="D24" i="16"/>
  <c r="D52" i="17"/>
  <c r="D24" i="17"/>
  <c r="C42" i="18"/>
  <c r="D54" i="18"/>
  <c r="D52" i="18" s="1"/>
  <c r="D60" i="22"/>
  <c r="D24" i="22"/>
  <c r="D38" i="22" s="1"/>
  <c r="D52" i="22"/>
  <c r="D7" i="22"/>
  <c r="C38" i="22"/>
  <c r="D43" i="22"/>
  <c r="D42" i="22" s="1"/>
  <c r="D42" i="18"/>
  <c r="D42" i="3"/>
  <c r="D24" i="18"/>
  <c r="D6" i="18" s="1"/>
  <c r="D60" i="18"/>
  <c r="C42" i="3"/>
  <c r="C39" i="3" s="1"/>
  <c r="C6" i="5"/>
  <c r="D42" i="7"/>
  <c r="C42" i="8"/>
  <c r="C39" i="8" s="1"/>
  <c r="D53" i="3"/>
  <c r="D61" i="3"/>
  <c r="D60" i="3" s="1"/>
  <c r="C60" i="5"/>
  <c r="C52" i="7"/>
  <c r="C60" i="7"/>
  <c r="D11" i="9"/>
  <c r="D38" i="9" s="1"/>
  <c r="C42" i="9"/>
  <c r="C6" i="10"/>
  <c r="D7" i="10"/>
  <c r="D48" i="10"/>
  <c r="D42" i="10" s="1"/>
  <c r="C42" i="10"/>
  <c r="C38" i="5"/>
  <c r="D42" i="5"/>
  <c r="C42" i="6"/>
  <c r="C6" i="7"/>
  <c r="C38" i="7"/>
  <c r="D52" i="8"/>
  <c r="D39" i="8" s="1"/>
  <c r="C52" i="9"/>
  <c r="D53" i="9"/>
  <c r="D52" i="9" s="1"/>
  <c r="D21" i="3"/>
  <c r="C52" i="5"/>
  <c r="D53" i="6"/>
  <c r="D52" i="6" s="1"/>
  <c r="D61" i="6"/>
  <c r="D60" i="6" s="1"/>
  <c r="D11" i="3"/>
  <c r="C60" i="8"/>
  <c r="C6" i="9"/>
  <c r="D43" i="9"/>
  <c r="D42" i="9" s="1"/>
  <c r="C60" i="9"/>
  <c r="D61" i="9"/>
  <c r="D60" i="9" s="1"/>
  <c r="D40" i="11"/>
  <c r="D48" i="12"/>
  <c r="D42" i="12" s="1"/>
  <c r="C42" i="12"/>
  <c r="C6" i="14"/>
  <c r="C42" i="14"/>
  <c r="D43" i="14"/>
  <c r="D42" i="14" s="1"/>
  <c r="C38" i="15"/>
  <c r="D24" i="3"/>
  <c r="D52" i="5"/>
  <c r="D60" i="5"/>
  <c r="D24" i="6"/>
  <c r="D52" i="7"/>
  <c r="D60" i="7"/>
  <c r="D24" i="8"/>
  <c r="D60" i="8"/>
  <c r="D11" i="10"/>
  <c r="C38" i="10"/>
  <c r="D24" i="10"/>
  <c r="D41" i="10"/>
  <c r="D42" i="11"/>
  <c r="D40" i="12"/>
  <c r="C6" i="13"/>
  <c r="D52" i="10"/>
  <c r="D52" i="11"/>
  <c r="D60" i="11"/>
  <c r="D52" i="12"/>
  <c r="D60" i="12"/>
  <c r="C60" i="13"/>
  <c r="D61" i="13"/>
  <c r="D60" i="13" s="1"/>
  <c r="C6" i="11"/>
  <c r="C38" i="11"/>
  <c r="C42" i="11"/>
  <c r="C6" i="12"/>
  <c r="C38" i="12"/>
  <c r="C52" i="12"/>
  <c r="C60" i="12"/>
  <c r="D63" i="15"/>
  <c r="D60" i="15" s="1"/>
  <c r="C60" i="15"/>
  <c r="C6" i="17"/>
  <c r="C42" i="13"/>
  <c r="D43" i="13"/>
  <c r="D42" i="13" s="1"/>
  <c r="C60" i="14"/>
  <c r="D61" i="14"/>
  <c r="D60" i="14" s="1"/>
  <c r="D40" i="16"/>
  <c r="C52" i="17"/>
  <c r="C52" i="13"/>
  <c r="D53" i="13"/>
  <c r="D52" i="13" s="1"/>
  <c r="C52" i="14"/>
  <c r="D53" i="14"/>
  <c r="D52" i="14" s="1"/>
  <c r="C38" i="16"/>
  <c r="D11" i="16"/>
  <c r="C42" i="16"/>
  <c r="D43" i="16"/>
  <c r="D42" i="16" s="1"/>
  <c r="C60" i="16"/>
  <c r="D60" i="17"/>
  <c r="C38" i="13"/>
  <c r="C38" i="14"/>
  <c r="C6" i="15"/>
  <c r="D8" i="16"/>
  <c r="C6" i="16"/>
  <c r="C42" i="15"/>
  <c r="C42" i="17"/>
  <c r="D13" i="17"/>
  <c r="D42" i="15"/>
  <c r="D42" i="17"/>
  <c r="D38" i="5" l="1"/>
  <c r="D38" i="12"/>
  <c r="D38" i="16"/>
  <c r="D6" i="7"/>
  <c r="D6" i="13"/>
  <c r="D6" i="15"/>
  <c r="C39" i="13"/>
  <c r="D52" i="3"/>
  <c r="D39" i="3" s="1"/>
  <c r="D39" i="15"/>
  <c r="D39" i="22"/>
  <c r="C39" i="17"/>
  <c r="D39" i="17"/>
  <c r="D6" i="17"/>
  <c r="C39" i="11"/>
  <c r="D6" i="14"/>
  <c r="C39" i="16"/>
  <c r="D38" i="14"/>
  <c r="C39" i="18"/>
  <c r="D38" i="11"/>
  <c r="D6" i="6"/>
  <c r="D39" i="13"/>
  <c r="C39" i="12"/>
  <c r="C39" i="10"/>
  <c r="C39" i="7"/>
  <c r="D39" i="6"/>
  <c r="D39" i="7"/>
  <c r="D38" i="17"/>
  <c r="D6" i="16"/>
  <c r="D6" i="8"/>
  <c r="D38" i="15"/>
  <c r="D39" i="9"/>
  <c r="D38" i="6"/>
  <c r="C39" i="5"/>
  <c r="C39" i="6"/>
  <c r="D6" i="22"/>
  <c r="D39" i="14"/>
  <c r="D38" i="3"/>
  <c r="D6" i="3"/>
  <c r="D39" i="5"/>
  <c r="C39" i="9"/>
  <c r="D38" i="10"/>
  <c r="D39" i="10"/>
  <c r="C39" i="15"/>
  <c r="D38" i="18"/>
  <c r="D39" i="18"/>
  <c r="D39" i="11"/>
  <c r="D6" i="10"/>
  <c r="D39" i="16"/>
  <c r="D39" i="12"/>
  <c r="C39" i="14"/>
  <c r="D38" i="8"/>
  <c r="C37" i="20" l="1"/>
  <c r="C57" i="23" s="1"/>
  <c r="C54" i="23"/>
  <c r="F37" i="19"/>
  <c r="F37" i="18"/>
  <c r="F37" i="17"/>
  <c r="F37" i="16"/>
  <c r="F37" i="15"/>
  <c r="F37" i="14"/>
  <c r="F37" i="13"/>
  <c r="F37" i="12"/>
  <c r="F37" i="11"/>
  <c r="F37" i="10"/>
  <c r="F37" i="9"/>
  <c r="F37" i="8"/>
  <c r="F37" i="7"/>
  <c r="F37" i="6"/>
  <c r="F37" i="5"/>
  <c r="F37" i="3"/>
  <c r="F37" i="22"/>
  <c r="E37" i="18"/>
  <c r="F37" i="24" s="1"/>
  <c r="E37" i="17"/>
  <c r="G37" i="24" s="1"/>
  <c r="E37" i="16"/>
  <c r="H37" i="24" s="1"/>
  <c r="E37" i="15"/>
  <c r="I37" i="24" s="1"/>
  <c r="E37" i="14"/>
  <c r="J37" i="24" s="1"/>
  <c r="E37" i="13"/>
  <c r="K37" i="24" s="1"/>
  <c r="E37" i="12"/>
  <c r="L37" i="24" s="1"/>
  <c r="E37" i="11"/>
  <c r="M37" i="24" s="1"/>
  <c r="E37" i="10"/>
  <c r="N37" i="24" s="1"/>
  <c r="E37" i="9"/>
  <c r="O37" i="24" s="1"/>
  <c r="E37" i="8"/>
  <c r="P37" i="24" s="1"/>
  <c r="E37" i="7"/>
  <c r="Q37" i="24" s="1"/>
  <c r="E37" i="6"/>
  <c r="R37" i="24" s="1"/>
  <c r="E37" i="5"/>
  <c r="S37" i="24" s="1"/>
  <c r="E37" i="3"/>
  <c r="T37" i="24" s="1"/>
  <c r="D37" i="25"/>
  <c r="F34" i="7"/>
  <c r="D34" i="25"/>
  <c r="F34" i="16"/>
  <c r="F34" i="15"/>
  <c r="F34" i="12"/>
  <c r="F34" i="11"/>
  <c r="F34" i="8"/>
  <c r="F34" i="3"/>
  <c r="D34" i="19"/>
  <c r="F34" i="19" s="1"/>
  <c r="E34" i="16"/>
  <c r="H34" i="24" s="1"/>
  <c r="E34" i="15"/>
  <c r="I34" i="24" s="1"/>
  <c r="E34" i="12"/>
  <c r="L34" i="24" s="1"/>
  <c r="E34" i="11"/>
  <c r="M34" i="24" s="1"/>
  <c r="E34" i="8"/>
  <c r="P34" i="24" s="1"/>
  <c r="E34" i="7"/>
  <c r="Q34" i="24" s="1"/>
  <c r="E34" i="3"/>
  <c r="T34" i="24" s="1"/>
  <c r="F37" i="25" l="1"/>
  <c r="E37" i="25" s="1"/>
  <c r="C37" i="25" s="1"/>
  <c r="D37" i="20"/>
  <c r="D57" i="23" s="1"/>
  <c r="E57" i="23" s="1"/>
  <c r="E37" i="19"/>
  <c r="E37" i="24" s="1"/>
  <c r="D37" i="24" s="1"/>
  <c r="E37" i="22"/>
  <c r="C37" i="24" s="1"/>
  <c r="E34" i="5"/>
  <c r="S34" i="24" s="1"/>
  <c r="E34" i="9"/>
  <c r="O34" i="24" s="1"/>
  <c r="E34" i="6"/>
  <c r="R34" i="24" s="1"/>
  <c r="E34" i="10"/>
  <c r="N34" i="24" s="1"/>
  <c r="E34" i="14"/>
  <c r="J34" i="24" s="1"/>
  <c r="E34" i="18"/>
  <c r="F34" i="24" s="1"/>
  <c r="F34" i="25"/>
  <c r="E34" i="25" s="1"/>
  <c r="C34" i="25" s="1"/>
  <c r="F34" i="6"/>
  <c r="F34" i="10"/>
  <c r="F34" i="14"/>
  <c r="F34" i="18"/>
  <c r="E34" i="22"/>
  <c r="E34" i="13"/>
  <c r="K34" i="24" s="1"/>
  <c r="E34" i="17"/>
  <c r="G34" i="24" s="1"/>
  <c r="F34" i="22"/>
  <c r="F34" i="5"/>
  <c r="F34" i="9"/>
  <c r="F34" i="13"/>
  <c r="F34" i="17"/>
  <c r="E34" i="19"/>
  <c r="E34" i="24" s="1"/>
  <c r="D11" i="19"/>
  <c r="D12" i="19"/>
  <c r="F57" i="23" l="1"/>
  <c r="F37" i="20"/>
  <c r="E37" i="20"/>
  <c r="D34" i="20"/>
  <c r="D34" i="24"/>
  <c r="F25" i="13"/>
  <c r="D52" i="25"/>
  <c r="F14" i="12"/>
  <c r="E10" i="17"/>
  <c r="G10" i="24" s="1"/>
  <c r="E10" i="13"/>
  <c r="K10" i="24" s="1"/>
  <c r="E14" i="9"/>
  <c r="O14" i="24" s="1"/>
  <c r="E12" i="19"/>
  <c r="E12" i="24" s="1"/>
  <c r="E58" i="8"/>
  <c r="P58" i="24" s="1"/>
  <c r="D23" i="23"/>
  <c r="F23" i="23" s="1"/>
  <c r="F36" i="10"/>
  <c r="F81" i="23"/>
  <c r="E53" i="22"/>
  <c r="C53" i="24" s="1"/>
  <c r="A1" i="3"/>
  <c r="A1" i="5"/>
  <c r="A1" i="6"/>
  <c r="A1" i="7"/>
  <c r="A1" i="8"/>
  <c r="A1" i="9"/>
  <c r="A1" i="10"/>
  <c r="A1" i="11"/>
  <c r="A1" i="12"/>
  <c r="A1" i="13"/>
  <c r="A1" i="14"/>
  <c r="A1" i="15"/>
  <c r="A1" i="16"/>
  <c r="A1" i="17"/>
  <c r="A1" i="18"/>
  <c r="A1" i="22"/>
  <c r="A1" i="20"/>
  <c r="A1" i="19"/>
  <c r="E41" i="22"/>
  <c r="C41" i="24" s="1"/>
  <c r="J30" i="25"/>
  <c r="F29" i="6"/>
  <c r="S30" i="25"/>
  <c r="F11" i="6"/>
  <c r="E11" i="15"/>
  <c r="I11" i="24" s="1"/>
  <c r="E10" i="15"/>
  <c r="I10" i="24" s="1"/>
  <c r="E29" i="7"/>
  <c r="Q29" i="24" s="1"/>
  <c r="F29" i="8"/>
  <c r="F29" i="9"/>
  <c r="N29" i="25"/>
  <c r="M29" i="25"/>
  <c r="E29" i="13"/>
  <c r="K29" i="24" s="1"/>
  <c r="K29" i="25"/>
  <c r="I29" i="25"/>
  <c r="E29" i="18"/>
  <c r="F29" i="24" s="1"/>
  <c r="E29" i="19"/>
  <c r="E29" i="24" s="1"/>
  <c r="E30" i="5"/>
  <c r="S30" i="24" s="1"/>
  <c r="F30" i="9"/>
  <c r="O30" i="25"/>
  <c r="N30" i="25"/>
  <c r="E30" i="12"/>
  <c r="L30" i="24" s="1"/>
  <c r="L30" i="25"/>
  <c r="K30" i="25"/>
  <c r="F30" i="16"/>
  <c r="H30" i="25"/>
  <c r="E30" i="18"/>
  <c r="F30" i="24" s="1"/>
  <c r="D30" i="19"/>
  <c r="F30" i="19" s="1"/>
  <c r="F9" i="6"/>
  <c r="E9" i="7"/>
  <c r="Q9" i="24" s="1"/>
  <c r="E9" i="8"/>
  <c r="P9" i="24" s="1"/>
  <c r="O9" i="25"/>
  <c r="E9" i="11"/>
  <c r="M9" i="24" s="1"/>
  <c r="M9" i="25"/>
  <c r="E9" i="13"/>
  <c r="K9" i="24" s="1"/>
  <c r="K9" i="25"/>
  <c r="I9" i="25"/>
  <c r="F9" i="17"/>
  <c r="G9" i="25"/>
  <c r="U10" i="25"/>
  <c r="F10" i="5"/>
  <c r="F10" i="7"/>
  <c r="F10" i="8"/>
  <c r="F10" i="9"/>
  <c r="E10" i="10"/>
  <c r="N10" i="24" s="1"/>
  <c r="F10" i="11"/>
  <c r="F10" i="12"/>
  <c r="E10" i="14"/>
  <c r="J10" i="24" s="1"/>
  <c r="F10" i="16"/>
  <c r="F10" i="18"/>
  <c r="D10" i="23"/>
  <c r="E10" i="23" s="1"/>
  <c r="F11" i="3"/>
  <c r="T11" i="25"/>
  <c r="R11" i="25"/>
  <c r="E11" i="8"/>
  <c r="P11" i="24" s="1"/>
  <c r="P11" i="25"/>
  <c r="O11" i="25"/>
  <c r="F11" i="11"/>
  <c r="M11" i="25"/>
  <c r="E11" i="13"/>
  <c r="K11" i="24" s="1"/>
  <c r="K11" i="25"/>
  <c r="F11" i="18"/>
  <c r="D11" i="23"/>
  <c r="E11" i="23" s="1"/>
  <c r="J10" i="25"/>
  <c r="F9" i="15"/>
  <c r="F29" i="15"/>
  <c r="D36" i="19"/>
  <c r="E36" i="19" s="1"/>
  <c r="E36" i="24" s="1"/>
  <c r="U58" i="25"/>
  <c r="E58" i="22"/>
  <c r="C58" i="24" s="1"/>
  <c r="O58" i="25"/>
  <c r="D18" i="19"/>
  <c r="F18" i="19" s="1"/>
  <c r="F14" i="25"/>
  <c r="D8" i="19"/>
  <c r="F8" i="19" s="1"/>
  <c r="H15" i="25"/>
  <c r="F16" i="17"/>
  <c r="I18" i="25"/>
  <c r="I8" i="25"/>
  <c r="L26" i="25"/>
  <c r="L27" i="25"/>
  <c r="F12" i="13"/>
  <c r="M32" i="25"/>
  <c r="E22" i="12"/>
  <c r="L22" i="24" s="1"/>
  <c r="F21" i="12"/>
  <c r="E13" i="12"/>
  <c r="L13" i="24" s="1"/>
  <c r="M17" i="25"/>
  <c r="E22" i="11"/>
  <c r="M22" i="24" s="1"/>
  <c r="E12" i="11"/>
  <c r="M12" i="24" s="1"/>
  <c r="E32" i="7"/>
  <c r="Q32" i="24" s="1"/>
  <c r="E20" i="7"/>
  <c r="Q20" i="24" s="1"/>
  <c r="E13" i="7"/>
  <c r="T32" i="25"/>
  <c r="E22" i="5"/>
  <c r="S22" i="24" s="1"/>
  <c r="E12" i="5"/>
  <c r="S12" i="24" s="1"/>
  <c r="F13" i="5"/>
  <c r="E22" i="3"/>
  <c r="T22" i="24" s="1"/>
  <c r="E12" i="3"/>
  <c r="T12" i="24" s="1"/>
  <c r="U13" i="25"/>
  <c r="Q13" i="24"/>
  <c r="H8" i="25"/>
  <c r="E12" i="13"/>
  <c r="K12" i="24" s="1"/>
  <c r="E15" i="19"/>
  <c r="E15" i="24" s="1"/>
  <c r="F16" i="25"/>
  <c r="I13" i="25"/>
  <c r="F14" i="16"/>
  <c r="E17" i="16"/>
  <c r="H17" i="24" s="1"/>
  <c r="I19" i="25"/>
  <c r="I20" i="25"/>
  <c r="F21" i="16"/>
  <c r="I25" i="25"/>
  <c r="I26" i="25"/>
  <c r="I27" i="25"/>
  <c r="J8" i="25"/>
  <c r="E19" i="15"/>
  <c r="I19" i="24" s="1"/>
  <c r="J20" i="25"/>
  <c r="F21" i="15"/>
  <c r="J22" i="25"/>
  <c r="F25" i="15"/>
  <c r="E27" i="15"/>
  <c r="I27" i="24" s="1"/>
  <c r="E28" i="15"/>
  <c r="I28" i="24" s="1"/>
  <c r="J31" i="25"/>
  <c r="E32" i="15"/>
  <c r="I32" i="24" s="1"/>
  <c r="Q12" i="25"/>
  <c r="Q13" i="25"/>
  <c r="F14" i="8"/>
  <c r="F15" i="8"/>
  <c r="F17" i="8"/>
  <c r="Q18" i="25"/>
  <c r="E20" i="8"/>
  <c r="P20" i="24" s="1"/>
  <c r="Q21" i="25"/>
  <c r="E22" i="8"/>
  <c r="P22" i="24" s="1"/>
  <c r="Q23" i="25"/>
  <c r="E25" i="8"/>
  <c r="P25" i="24" s="1"/>
  <c r="F26" i="8"/>
  <c r="Q31" i="25"/>
  <c r="E32" i="8"/>
  <c r="P32" i="24" s="1"/>
  <c r="S22" i="25"/>
  <c r="F23" i="6"/>
  <c r="F26" i="6"/>
  <c r="E27" i="6"/>
  <c r="R27" i="24" s="1"/>
  <c r="S28" i="25"/>
  <c r="E31" i="6"/>
  <c r="R31" i="24" s="1"/>
  <c r="E32" i="6"/>
  <c r="R32" i="24" s="1"/>
  <c r="E8" i="18"/>
  <c r="F8" i="24" s="1"/>
  <c r="F17" i="18"/>
  <c r="E18" i="18"/>
  <c r="F18" i="24" s="1"/>
  <c r="F19" i="18"/>
  <c r="E21" i="18"/>
  <c r="F21" i="24" s="1"/>
  <c r="E22" i="18"/>
  <c r="F22" i="24" s="1"/>
  <c r="E23" i="18"/>
  <c r="F23" i="24" s="1"/>
  <c r="F26" i="18"/>
  <c r="F27" i="18"/>
  <c r="G31" i="25"/>
  <c r="C52" i="19"/>
  <c r="C42" i="19"/>
  <c r="F41" i="18"/>
  <c r="G43" i="25"/>
  <c r="E44" i="18"/>
  <c r="F44" i="24" s="1"/>
  <c r="G46" i="25"/>
  <c r="G47" i="25"/>
  <c r="G48" i="25"/>
  <c r="F49" i="18"/>
  <c r="E51" i="18"/>
  <c r="F51" i="24" s="1"/>
  <c r="F54" i="18"/>
  <c r="G55" i="25"/>
  <c r="G56" i="25"/>
  <c r="G58" i="25"/>
  <c r="E59" i="18"/>
  <c r="F59" i="24" s="1"/>
  <c r="F41" i="17"/>
  <c r="E43" i="17"/>
  <c r="G43" i="24" s="1"/>
  <c r="E44" i="17"/>
  <c r="G44" i="24" s="1"/>
  <c r="H46" i="25"/>
  <c r="H47" i="25"/>
  <c r="E48" i="17"/>
  <c r="G48" i="24" s="1"/>
  <c r="F53" i="17"/>
  <c r="H54" i="25"/>
  <c r="H55" i="25"/>
  <c r="H56" i="25"/>
  <c r="E57" i="17"/>
  <c r="G57" i="24" s="1"/>
  <c r="F58" i="17"/>
  <c r="F59" i="17"/>
  <c r="E41" i="16"/>
  <c r="H41" i="24" s="1"/>
  <c r="I43" i="25"/>
  <c r="E44" i="16"/>
  <c r="H44" i="24" s="1"/>
  <c r="I45" i="25"/>
  <c r="E46" i="16"/>
  <c r="H46" i="24" s="1"/>
  <c r="I47" i="25"/>
  <c r="E49" i="16"/>
  <c r="H49" i="24" s="1"/>
  <c r="I50" i="25"/>
  <c r="F51" i="16"/>
  <c r="E53" i="16"/>
  <c r="H53" i="24" s="1"/>
  <c r="I54" i="25"/>
  <c r="E56" i="16"/>
  <c r="H56" i="24" s="1"/>
  <c r="I58" i="25"/>
  <c r="F41" i="15"/>
  <c r="J43" i="25"/>
  <c r="E45" i="15"/>
  <c r="I45" i="24" s="1"/>
  <c r="J46" i="25"/>
  <c r="E47" i="15"/>
  <c r="I47" i="24" s="1"/>
  <c r="J48" i="25"/>
  <c r="F49" i="15"/>
  <c r="J50" i="25"/>
  <c r="E51" i="15"/>
  <c r="I51" i="24" s="1"/>
  <c r="E53" i="15"/>
  <c r="I53" i="24" s="1"/>
  <c r="F54" i="15"/>
  <c r="J55" i="25"/>
  <c r="J56" i="25"/>
  <c r="E57" i="15"/>
  <c r="I57" i="24" s="1"/>
  <c r="J58" i="25"/>
  <c r="E59" i="15"/>
  <c r="I59" i="24" s="1"/>
  <c r="F43" i="14"/>
  <c r="K45" i="25"/>
  <c r="E46" i="14"/>
  <c r="J46" i="24" s="1"/>
  <c r="K47" i="25"/>
  <c r="K48" i="25"/>
  <c r="K49" i="25"/>
  <c r="E50" i="14"/>
  <c r="J50" i="24" s="1"/>
  <c r="K51" i="25"/>
  <c r="E53" i="14"/>
  <c r="J53" i="24" s="1"/>
  <c r="E54" i="14"/>
  <c r="J54" i="24" s="1"/>
  <c r="K55" i="25"/>
  <c r="K56" i="25"/>
  <c r="E57" i="14"/>
  <c r="J57" i="24" s="1"/>
  <c r="E58" i="14"/>
  <c r="J58" i="24" s="1"/>
  <c r="K59" i="25"/>
  <c r="E43" i="13"/>
  <c r="K43" i="24" s="1"/>
  <c r="F44" i="13"/>
  <c r="L45" i="25"/>
  <c r="F48" i="13"/>
  <c r="F49" i="13"/>
  <c r="E50" i="13"/>
  <c r="K50" i="24" s="1"/>
  <c r="E51" i="13"/>
  <c r="K51" i="24" s="1"/>
  <c r="E53" i="13"/>
  <c r="K53" i="24" s="1"/>
  <c r="F54" i="13"/>
  <c r="E56" i="13"/>
  <c r="K56" i="24" s="1"/>
  <c r="L58" i="25"/>
  <c r="F59" i="13"/>
  <c r="M41" i="25"/>
  <c r="E43" i="12"/>
  <c r="L43" i="24" s="1"/>
  <c r="F44" i="12"/>
  <c r="E45" i="12"/>
  <c r="L45" i="24" s="1"/>
  <c r="E46" i="12"/>
  <c r="L46" i="24" s="1"/>
  <c r="M47" i="25"/>
  <c r="F48" i="12"/>
  <c r="M49" i="25"/>
  <c r="M50" i="25"/>
  <c r="F53" i="12"/>
  <c r="M55" i="25"/>
  <c r="F56" i="12"/>
  <c r="E57" i="12"/>
  <c r="L57" i="24" s="1"/>
  <c r="E58" i="12"/>
  <c r="L58" i="24" s="1"/>
  <c r="N41" i="25"/>
  <c r="F43" i="11"/>
  <c r="E45" i="11"/>
  <c r="M45" i="24" s="1"/>
  <c r="E47" i="11"/>
  <c r="M47" i="24" s="1"/>
  <c r="F48" i="11"/>
  <c r="E51" i="11"/>
  <c r="M51" i="24" s="1"/>
  <c r="E53" i="11"/>
  <c r="M53" i="24" s="1"/>
  <c r="N54" i="25"/>
  <c r="E55" i="11"/>
  <c r="M55" i="24" s="1"/>
  <c r="N56" i="25"/>
  <c r="F58" i="11"/>
  <c r="F41" i="10"/>
  <c r="O43" i="25"/>
  <c r="F44" i="10"/>
  <c r="F45" i="10"/>
  <c r="F46" i="10"/>
  <c r="E48" i="10"/>
  <c r="N48" i="24" s="1"/>
  <c r="O49" i="25"/>
  <c r="E51" i="10"/>
  <c r="N51" i="24" s="1"/>
  <c r="E53" i="10"/>
  <c r="N53" i="24" s="1"/>
  <c r="F54" i="10"/>
  <c r="O55" i="25"/>
  <c r="F56" i="10"/>
  <c r="O57" i="25"/>
  <c r="E59" i="10"/>
  <c r="N59" i="24" s="1"/>
  <c r="E41" i="9"/>
  <c r="O41" i="24" s="1"/>
  <c r="E43" i="9"/>
  <c r="O43" i="24" s="1"/>
  <c r="P44" i="25"/>
  <c r="P45" i="25"/>
  <c r="E47" i="9"/>
  <c r="O47" i="24" s="1"/>
  <c r="F48" i="9"/>
  <c r="P53" i="25"/>
  <c r="E54" i="9"/>
  <c r="O54" i="24" s="1"/>
  <c r="E55" i="9"/>
  <c r="O55" i="24" s="1"/>
  <c r="F56" i="9"/>
  <c r="P57" i="25"/>
  <c r="E58" i="9"/>
  <c r="O58" i="24" s="1"/>
  <c r="P59" i="25"/>
  <c r="Q41" i="25"/>
  <c r="F43" i="8"/>
  <c r="E44" i="8"/>
  <c r="P44" i="24" s="1"/>
  <c r="E46" i="8"/>
  <c r="P46" i="24" s="1"/>
  <c r="Q47" i="25"/>
  <c r="E48" i="8"/>
  <c r="P48" i="24" s="1"/>
  <c r="F49" i="8"/>
  <c r="E50" i="8"/>
  <c r="P50" i="24" s="1"/>
  <c r="F51" i="8"/>
  <c r="E53" i="8"/>
  <c r="P53" i="24" s="1"/>
  <c r="E54" i="8"/>
  <c r="P54" i="24" s="1"/>
  <c r="Q56" i="25"/>
  <c r="Q57" i="25"/>
  <c r="E59" i="8"/>
  <c r="P59" i="24" s="1"/>
  <c r="F41" i="7"/>
  <c r="R43" i="25"/>
  <c r="E45" i="7"/>
  <c r="Q45" i="24" s="1"/>
  <c r="R46" i="25"/>
  <c r="F48" i="7"/>
  <c r="R50" i="25"/>
  <c r="R51" i="25"/>
  <c r="E53" i="7"/>
  <c r="Q53" i="24" s="1"/>
  <c r="E54" i="7"/>
  <c r="Q54" i="24" s="1"/>
  <c r="E56" i="7"/>
  <c r="Q56" i="24" s="1"/>
  <c r="R57" i="25"/>
  <c r="F58" i="7"/>
  <c r="F59" i="7"/>
  <c r="F41" i="6"/>
  <c r="E43" i="6"/>
  <c r="R43" i="24" s="1"/>
  <c r="F44" i="6"/>
  <c r="F45" i="6"/>
  <c r="S46" i="25"/>
  <c r="S47" i="25"/>
  <c r="F50" i="6"/>
  <c r="S51" i="25"/>
  <c r="E54" i="6"/>
  <c r="R54" i="24" s="1"/>
  <c r="S55" i="25"/>
  <c r="E56" i="6"/>
  <c r="R56" i="24" s="1"/>
  <c r="S57" i="25"/>
  <c r="F58" i="6"/>
  <c r="S59" i="25"/>
  <c r="E41" i="5"/>
  <c r="S41" i="24" s="1"/>
  <c r="E43" i="5"/>
  <c r="S43" i="24" s="1"/>
  <c r="E44" i="5"/>
  <c r="S44" i="24" s="1"/>
  <c r="F45" i="5"/>
  <c r="T47" i="25"/>
  <c r="F48" i="5"/>
  <c r="E49" i="5"/>
  <c r="S49" i="24" s="1"/>
  <c r="T50" i="25"/>
  <c r="E51" i="5"/>
  <c r="S51" i="24" s="1"/>
  <c r="T53" i="25"/>
  <c r="T54" i="25"/>
  <c r="E55" i="5"/>
  <c r="S55" i="24" s="1"/>
  <c r="F56" i="5"/>
  <c r="T57" i="25"/>
  <c r="F58" i="5"/>
  <c r="F59" i="5"/>
  <c r="E41" i="3"/>
  <c r="T41" i="24" s="1"/>
  <c r="U43" i="25"/>
  <c r="E44" i="3"/>
  <c r="T44" i="24" s="1"/>
  <c r="U45" i="25"/>
  <c r="E46" i="3"/>
  <c r="T46" i="24" s="1"/>
  <c r="F48" i="3"/>
  <c r="E49" i="3"/>
  <c r="T49" i="24" s="1"/>
  <c r="U50" i="25"/>
  <c r="U51" i="25"/>
  <c r="U53" i="25"/>
  <c r="U54" i="25"/>
  <c r="E55" i="3"/>
  <c r="T55" i="24" s="1"/>
  <c r="E57" i="3"/>
  <c r="T57" i="24" s="1"/>
  <c r="D41" i="19"/>
  <c r="D43" i="19"/>
  <c r="F43" i="25" s="1"/>
  <c r="D44" i="19"/>
  <c r="F44" i="19" s="1"/>
  <c r="D45" i="19"/>
  <c r="E45" i="19" s="1"/>
  <c r="E45" i="24" s="1"/>
  <c r="D46" i="19"/>
  <c r="F46" i="25" s="1"/>
  <c r="D47" i="19"/>
  <c r="D48" i="19"/>
  <c r="F48" i="19" s="1"/>
  <c r="D49" i="19"/>
  <c r="F49" i="25" s="1"/>
  <c r="D50" i="19"/>
  <c r="F50" i="25" s="1"/>
  <c r="D51" i="19"/>
  <c r="F51" i="25" s="1"/>
  <c r="D53" i="19"/>
  <c r="D54" i="19"/>
  <c r="F54" i="25" s="1"/>
  <c r="D55" i="19"/>
  <c r="F55" i="25" s="1"/>
  <c r="D56" i="19"/>
  <c r="F56" i="19" s="1"/>
  <c r="D57" i="19"/>
  <c r="E57" i="19" s="1"/>
  <c r="E57" i="24" s="1"/>
  <c r="D58" i="19"/>
  <c r="F58" i="25" s="1"/>
  <c r="D59" i="19"/>
  <c r="E59" i="19" s="1"/>
  <c r="E59" i="24" s="1"/>
  <c r="G40" i="25"/>
  <c r="F40" i="17"/>
  <c r="E40" i="16"/>
  <c r="H40" i="24" s="1"/>
  <c r="E40" i="15"/>
  <c r="I40" i="24" s="1"/>
  <c r="F40" i="13"/>
  <c r="E40" i="12"/>
  <c r="L40" i="24" s="1"/>
  <c r="N40" i="25"/>
  <c r="E40" i="9"/>
  <c r="O40" i="24" s="1"/>
  <c r="E40" i="8"/>
  <c r="P40" i="24" s="1"/>
  <c r="E40" i="7"/>
  <c r="Q40" i="24" s="1"/>
  <c r="S40" i="25"/>
  <c r="F40" i="3"/>
  <c r="D40" i="19"/>
  <c r="E40" i="19" s="1"/>
  <c r="E40" i="24" s="1"/>
  <c r="F41" i="22"/>
  <c r="D31" i="19"/>
  <c r="D32" i="19"/>
  <c r="E32" i="19" s="1"/>
  <c r="E32" i="24" s="1"/>
  <c r="D33" i="19"/>
  <c r="D35" i="19"/>
  <c r="F35" i="25" s="1"/>
  <c r="D61" i="19"/>
  <c r="E61" i="19" s="1"/>
  <c r="E61" i="24" s="1"/>
  <c r="D62" i="19"/>
  <c r="F62" i="19" s="1"/>
  <c r="D63" i="19"/>
  <c r="E63" i="19" s="1"/>
  <c r="E63" i="24" s="1"/>
  <c r="D64" i="19"/>
  <c r="F64" i="19" s="1"/>
  <c r="D65" i="19"/>
  <c r="F65" i="25" s="1"/>
  <c r="E8" i="13"/>
  <c r="K8" i="24" s="1"/>
  <c r="E13" i="13"/>
  <c r="K13" i="24" s="1"/>
  <c r="L15" i="25"/>
  <c r="E19" i="13"/>
  <c r="K19" i="24" s="1"/>
  <c r="L21" i="25"/>
  <c r="L28" i="25"/>
  <c r="E31" i="13"/>
  <c r="K31" i="24" s="1"/>
  <c r="E32" i="13"/>
  <c r="K32" i="24" s="1"/>
  <c r="L33" i="25"/>
  <c r="T8" i="25"/>
  <c r="F14" i="5"/>
  <c r="T15" i="25"/>
  <c r="E16" i="5"/>
  <c r="S16" i="24" s="1"/>
  <c r="F17" i="5"/>
  <c r="E18" i="5"/>
  <c r="S18" i="24" s="1"/>
  <c r="F19" i="5"/>
  <c r="E20" i="5"/>
  <c r="S20" i="24" s="1"/>
  <c r="E21" i="5"/>
  <c r="S21" i="24" s="1"/>
  <c r="E23" i="5"/>
  <c r="S23" i="24" s="1"/>
  <c r="F25" i="5"/>
  <c r="T26" i="25"/>
  <c r="F27" i="5"/>
  <c r="T31" i="25"/>
  <c r="T33" i="25"/>
  <c r="K8" i="25"/>
  <c r="K12" i="25"/>
  <c r="F13" i="14"/>
  <c r="F14" i="14"/>
  <c r="K15" i="25"/>
  <c r="K19" i="25"/>
  <c r="F20" i="14"/>
  <c r="K21" i="25"/>
  <c r="F22" i="14"/>
  <c r="E23" i="14"/>
  <c r="J23" i="24" s="1"/>
  <c r="E25" i="14"/>
  <c r="J25" i="24" s="1"/>
  <c r="K26" i="25"/>
  <c r="F27" i="14"/>
  <c r="E28" i="14"/>
  <c r="J28" i="24" s="1"/>
  <c r="K31" i="25"/>
  <c r="K32" i="25"/>
  <c r="K33" i="25"/>
  <c r="F8" i="11"/>
  <c r="E14" i="11"/>
  <c r="M14" i="24" s="1"/>
  <c r="N15" i="25"/>
  <c r="E17" i="11"/>
  <c r="M17" i="24" s="1"/>
  <c r="N18" i="25"/>
  <c r="F19" i="11"/>
  <c r="N20" i="25"/>
  <c r="E21" i="11"/>
  <c r="M21" i="24" s="1"/>
  <c r="E23" i="11"/>
  <c r="M23" i="24" s="1"/>
  <c r="N25" i="25"/>
  <c r="N26" i="25"/>
  <c r="E27" i="11"/>
  <c r="M27" i="24" s="1"/>
  <c r="E28" i="11"/>
  <c r="M28" i="24" s="1"/>
  <c r="F32" i="11"/>
  <c r="N33" i="25"/>
  <c r="E25" i="3"/>
  <c r="T25" i="24" s="1"/>
  <c r="C6" i="19"/>
  <c r="E14" i="17"/>
  <c r="G14" i="24" s="1"/>
  <c r="H17" i="25"/>
  <c r="E18" i="17"/>
  <c r="G18" i="24" s="1"/>
  <c r="E20" i="17"/>
  <c r="G20" i="24" s="1"/>
  <c r="H21" i="25"/>
  <c r="F22" i="17"/>
  <c r="E23" i="17"/>
  <c r="G23" i="24" s="1"/>
  <c r="E26" i="17"/>
  <c r="G26" i="24" s="1"/>
  <c r="H28" i="25"/>
  <c r="E31" i="17"/>
  <c r="G31" i="24" s="1"/>
  <c r="H32" i="25"/>
  <c r="H33" i="25"/>
  <c r="L14" i="25"/>
  <c r="L18" i="25"/>
  <c r="O8" i="25"/>
  <c r="O12" i="25"/>
  <c r="F14" i="10"/>
  <c r="O16" i="25"/>
  <c r="O18" i="25"/>
  <c r="F19" i="10"/>
  <c r="E20" i="10"/>
  <c r="N20" i="24" s="1"/>
  <c r="E22" i="10"/>
  <c r="N22" i="24" s="1"/>
  <c r="F23" i="10"/>
  <c r="F25" i="10"/>
  <c r="F26" i="10"/>
  <c r="O27" i="25"/>
  <c r="E28" i="10"/>
  <c r="N28" i="24" s="1"/>
  <c r="E33" i="10"/>
  <c r="N33" i="24" s="1"/>
  <c r="R8" i="25"/>
  <c r="R14" i="25"/>
  <c r="F15" i="7"/>
  <c r="E17" i="7"/>
  <c r="Q17" i="24" s="1"/>
  <c r="R18" i="25"/>
  <c r="E21" i="7"/>
  <c r="Q21" i="24" s="1"/>
  <c r="E22" i="7"/>
  <c r="Q22" i="24" s="1"/>
  <c r="R23" i="25"/>
  <c r="R31" i="25"/>
  <c r="E33" i="7"/>
  <c r="Q33" i="24" s="1"/>
  <c r="D13" i="19"/>
  <c r="E13" i="19" s="1"/>
  <c r="E13" i="24" s="1"/>
  <c r="D19" i="19"/>
  <c r="E19" i="19" s="1"/>
  <c r="E19" i="24" s="1"/>
  <c r="D20" i="19"/>
  <c r="F20" i="25" s="1"/>
  <c r="D21" i="19"/>
  <c r="E21" i="19" s="1"/>
  <c r="E21" i="24" s="1"/>
  <c r="D23" i="19"/>
  <c r="F23" i="19" s="1"/>
  <c r="D25" i="19"/>
  <c r="D26" i="19"/>
  <c r="D27" i="19"/>
  <c r="E27" i="19" s="1"/>
  <c r="E27" i="24" s="1"/>
  <c r="D28" i="19"/>
  <c r="E28" i="19" s="1"/>
  <c r="E28" i="24" s="1"/>
  <c r="D7" i="19"/>
  <c r="F29" i="13"/>
  <c r="H12" i="25"/>
  <c r="E20" i="12"/>
  <c r="L20" i="24" s="1"/>
  <c r="E23" i="12"/>
  <c r="L23" i="24" s="1"/>
  <c r="F25" i="12"/>
  <c r="E26" i="12"/>
  <c r="L26" i="24" s="1"/>
  <c r="M28" i="25"/>
  <c r="M31" i="25"/>
  <c r="E33" i="12"/>
  <c r="L33" i="24" s="1"/>
  <c r="F8" i="9"/>
  <c r="E23" i="9"/>
  <c r="O23" i="24" s="1"/>
  <c r="P25" i="25"/>
  <c r="E28" i="9"/>
  <c r="O28" i="24" s="1"/>
  <c r="E31" i="9"/>
  <c r="O31" i="24" s="1"/>
  <c r="P33" i="25"/>
  <c r="Q33" i="25"/>
  <c r="F9" i="18"/>
  <c r="E13" i="18"/>
  <c r="F13" i="24" s="1"/>
  <c r="G15" i="25"/>
  <c r="D43" i="25"/>
  <c r="D44" i="25"/>
  <c r="D55" i="25"/>
  <c r="E9" i="15"/>
  <c r="I9" i="24" s="1"/>
  <c r="E22" i="23"/>
  <c r="C22" i="20"/>
  <c r="C42" i="23" s="1"/>
  <c r="F22" i="9"/>
  <c r="I33" i="25"/>
  <c r="J33" i="25"/>
  <c r="F16" i="12"/>
  <c r="E18" i="12"/>
  <c r="L18" i="24" s="1"/>
  <c r="P12" i="25"/>
  <c r="E16" i="9"/>
  <c r="O16" i="24" s="1"/>
  <c r="E20" i="9"/>
  <c r="O20" i="24" s="1"/>
  <c r="E22" i="9"/>
  <c r="O22" i="24" s="1"/>
  <c r="S13" i="25"/>
  <c r="E16" i="6"/>
  <c r="R16" i="24" s="1"/>
  <c r="G36" i="25"/>
  <c r="E36" i="17"/>
  <c r="G36" i="24" s="1"/>
  <c r="F36" i="16"/>
  <c r="E36" i="15"/>
  <c r="I36" i="24" s="1"/>
  <c r="K36" i="25"/>
  <c r="F36" i="12"/>
  <c r="F36" i="11"/>
  <c r="F36" i="7"/>
  <c r="S36" i="25"/>
  <c r="F32" i="3"/>
  <c r="E33" i="3"/>
  <c r="T33" i="24" s="1"/>
  <c r="F18" i="15"/>
  <c r="L16" i="25"/>
  <c r="F12" i="9"/>
  <c r="P26" i="25"/>
  <c r="E15" i="6"/>
  <c r="R15" i="24" s="1"/>
  <c r="F14" i="3"/>
  <c r="U17" i="25"/>
  <c r="U20" i="25"/>
  <c r="F23" i="3"/>
  <c r="E27" i="3"/>
  <c r="T27" i="24" s="1"/>
  <c r="E28" i="3"/>
  <c r="T28" i="24" s="1"/>
  <c r="F13" i="18"/>
  <c r="F31" i="18"/>
  <c r="F31" i="16"/>
  <c r="F31" i="14"/>
  <c r="F31" i="12"/>
  <c r="F31" i="10"/>
  <c r="F31" i="8"/>
  <c r="E12" i="18"/>
  <c r="F12" i="24" s="1"/>
  <c r="F26" i="9"/>
  <c r="D40" i="25"/>
  <c r="F32" i="18"/>
  <c r="F58" i="22"/>
  <c r="F47" i="9"/>
  <c r="F18" i="3"/>
  <c r="F28" i="3"/>
  <c r="F31" i="3"/>
  <c r="F33" i="3"/>
  <c r="E35" i="3"/>
  <c r="T35" i="24" s="1"/>
  <c r="F35" i="3"/>
  <c r="F46" i="3"/>
  <c r="F47" i="3"/>
  <c r="F55" i="3"/>
  <c r="F57" i="3"/>
  <c r="E61" i="3"/>
  <c r="T61" i="24" s="1"/>
  <c r="F61" i="3"/>
  <c r="U62" i="25"/>
  <c r="F63" i="3"/>
  <c r="F64" i="3"/>
  <c r="U65" i="25"/>
  <c r="F28" i="5"/>
  <c r="F33" i="5"/>
  <c r="F35" i="5"/>
  <c r="F46" i="5"/>
  <c r="F47" i="5"/>
  <c r="F50" i="5"/>
  <c r="F55" i="5"/>
  <c r="F57" i="5"/>
  <c r="F62" i="5"/>
  <c r="E63" i="5"/>
  <c r="S63" i="24" s="1"/>
  <c r="F63" i="5"/>
  <c r="F65" i="5"/>
  <c r="F28" i="6"/>
  <c r="F33" i="6"/>
  <c r="F35" i="6"/>
  <c r="F46" i="6"/>
  <c r="F47" i="6"/>
  <c r="F55" i="6"/>
  <c r="F57" i="6"/>
  <c r="F61" i="6"/>
  <c r="F63" i="6"/>
  <c r="S64" i="25"/>
  <c r="F28" i="7"/>
  <c r="F31" i="7"/>
  <c r="F33" i="7"/>
  <c r="F35" i="7"/>
  <c r="F46" i="7"/>
  <c r="F47" i="7"/>
  <c r="F55" i="7"/>
  <c r="F57" i="7"/>
  <c r="F61" i="7"/>
  <c r="R62" i="25"/>
  <c r="R63" i="25"/>
  <c r="F63" i="7"/>
  <c r="R64" i="25"/>
  <c r="F28" i="8"/>
  <c r="F33" i="8"/>
  <c r="F35" i="8"/>
  <c r="F44" i="8"/>
  <c r="F47" i="8"/>
  <c r="F55" i="8"/>
  <c r="F57" i="8"/>
  <c r="F62" i="8"/>
  <c r="F63" i="8"/>
  <c r="Q64" i="25"/>
  <c r="E65" i="8"/>
  <c r="P65" i="24" s="1"/>
  <c r="F28" i="9"/>
  <c r="F33" i="9"/>
  <c r="F35" i="9"/>
  <c r="F55" i="9"/>
  <c r="F57" i="9"/>
  <c r="E63" i="9"/>
  <c r="O63" i="24" s="1"/>
  <c r="F63" i="9"/>
  <c r="P64" i="25"/>
  <c r="P65" i="25"/>
  <c r="F28" i="10"/>
  <c r="F30" i="10"/>
  <c r="F33" i="10"/>
  <c r="F35" i="10"/>
  <c r="F47" i="10"/>
  <c r="F51" i="10"/>
  <c r="F55" i="10"/>
  <c r="F57" i="10"/>
  <c r="O61" i="25"/>
  <c r="F61" i="10"/>
  <c r="E62" i="10"/>
  <c r="N62" i="24" s="1"/>
  <c r="F63" i="10"/>
  <c r="O64" i="25"/>
  <c r="O65" i="25"/>
  <c r="F28" i="11"/>
  <c r="F33" i="11"/>
  <c r="N35" i="25"/>
  <c r="E35" i="11"/>
  <c r="M35" i="24" s="1"/>
  <c r="F35" i="11"/>
  <c r="F46" i="11"/>
  <c r="F47" i="11"/>
  <c r="F55" i="11"/>
  <c r="F57" i="11"/>
  <c r="F61" i="11"/>
  <c r="F63" i="11"/>
  <c r="F65" i="11"/>
  <c r="F28" i="12"/>
  <c r="F33" i="12"/>
  <c r="M35" i="25"/>
  <c r="F35" i="12"/>
  <c r="F43" i="12"/>
  <c r="F46" i="12"/>
  <c r="F47" i="12"/>
  <c r="F55" i="12"/>
  <c r="F57" i="12"/>
  <c r="E59" i="12"/>
  <c r="L59" i="24" s="1"/>
  <c r="M61" i="25"/>
  <c r="F61" i="12"/>
  <c r="F62" i="12"/>
  <c r="F63" i="12"/>
  <c r="E16" i="13"/>
  <c r="K16" i="24" s="1"/>
  <c r="F16" i="13"/>
  <c r="F28" i="13"/>
  <c r="F30" i="13"/>
  <c r="F33" i="13"/>
  <c r="F35" i="13"/>
  <c r="F47" i="13"/>
  <c r="F55" i="13"/>
  <c r="F57" i="13"/>
  <c r="F61" i="13"/>
  <c r="E62" i="13"/>
  <c r="K62" i="24" s="1"/>
  <c r="F63" i="13"/>
  <c r="L65" i="25"/>
  <c r="F28" i="14"/>
  <c r="F33" i="14"/>
  <c r="K35" i="25"/>
  <c r="F35" i="14"/>
  <c r="F46" i="14"/>
  <c r="F47" i="14"/>
  <c r="E49" i="14"/>
  <c r="J49" i="24" s="1"/>
  <c r="F55" i="14"/>
  <c r="F57" i="14"/>
  <c r="F61" i="14"/>
  <c r="E62" i="14"/>
  <c r="J62" i="24" s="1"/>
  <c r="F63" i="14"/>
  <c r="K64" i="25"/>
  <c r="F28" i="15"/>
  <c r="F30" i="15"/>
  <c r="F31" i="15"/>
  <c r="F33" i="15"/>
  <c r="J35" i="25"/>
  <c r="F35" i="15"/>
  <c r="F46" i="15"/>
  <c r="F47" i="15"/>
  <c r="F55" i="15"/>
  <c r="F57" i="15"/>
  <c r="F61" i="15"/>
  <c r="J62" i="25"/>
  <c r="J63" i="25"/>
  <c r="F63" i="15"/>
  <c r="F64" i="15"/>
  <c r="F28" i="16"/>
  <c r="F33" i="16"/>
  <c r="F35" i="16"/>
  <c r="F45" i="16"/>
  <c r="F47" i="16"/>
  <c r="F55" i="16"/>
  <c r="F57" i="16"/>
  <c r="F61" i="16"/>
  <c r="F63" i="16"/>
  <c r="F28" i="17"/>
  <c r="F33" i="17"/>
  <c r="H35" i="25"/>
  <c r="F35" i="17"/>
  <c r="F46" i="17"/>
  <c r="F47" i="17"/>
  <c r="H53" i="25"/>
  <c r="F55" i="17"/>
  <c r="F57" i="17"/>
  <c r="F61" i="17"/>
  <c r="E62" i="17"/>
  <c r="G62" i="24" s="1"/>
  <c r="E63" i="17"/>
  <c r="G63" i="24" s="1"/>
  <c r="F63" i="17"/>
  <c r="H65" i="25"/>
  <c r="F28" i="18"/>
  <c r="E32" i="18"/>
  <c r="F32" i="24" s="1"/>
  <c r="F33" i="18"/>
  <c r="F35" i="18"/>
  <c r="F47" i="18"/>
  <c r="F51" i="18"/>
  <c r="F55" i="18"/>
  <c r="F57" i="18"/>
  <c r="G61" i="25"/>
  <c r="F61" i="18"/>
  <c r="G63" i="25"/>
  <c r="F63" i="18"/>
  <c r="F64" i="18"/>
  <c r="G65" i="25"/>
  <c r="F28" i="19"/>
  <c r="F31" i="19"/>
  <c r="F33" i="19"/>
  <c r="F35" i="19"/>
  <c r="F47" i="19"/>
  <c r="F55" i="19"/>
  <c r="F57" i="19"/>
  <c r="C60" i="19"/>
  <c r="F61" i="19"/>
  <c r="F63" i="19"/>
  <c r="C7" i="20"/>
  <c r="C8" i="20"/>
  <c r="C9" i="20"/>
  <c r="C10" i="20"/>
  <c r="C11" i="20"/>
  <c r="C12" i="20"/>
  <c r="C13" i="20"/>
  <c r="C14" i="20"/>
  <c r="C15" i="20"/>
  <c r="C16" i="20"/>
  <c r="C17" i="20"/>
  <c r="C37" i="23" s="1"/>
  <c r="C18" i="20"/>
  <c r="C38" i="23" s="1"/>
  <c r="C19" i="20"/>
  <c r="C39" i="23" s="1"/>
  <c r="C20" i="20"/>
  <c r="C40" i="23" s="1"/>
  <c r="C21" i="20"/>
  <c r="C41" i="23" s="1"/>
  <c r="C23" i="20"/>
  <c r="C43" i="23" s="1"/>
  <c r="C26" i="20"/>
  <c r="C46" i="23" s="1"/>
  <c r="C27" i="20"/>
  <c r="C47" i="23" s="1"/>
  <c r="C28" i="20"/>
  <c r="C29" i="20"/>
  <c r="C49" i="23" s="1"/>
  <c r="C30" i="20"/>
  <c r="C50" i="23" s="1"/>
  <c r="C31" i="20"/>
  <c r="C51" i="23" s="1"/>
  <c r="F51" i="23" s="1"/>
  <c r="C32" i="20"/>
  <c r="C52" i="23" s="1"/>
  <c r="C33" i="20"/>
  <c r="C35" i="20"/>
  <c r="F35" i="20" s="1"/>
  <c r="C36" i="20"/>
  <c r="C56" i="23" s="1"/>
  <c r="C40" i="20"/>
  <c r="C61" i="23" s="1"/>
  <c r="C41" i="20"/>
  <c r="C62" i="23" s="1"/>
  <c r="C43" i="20"/>
  <c r="C64" i="23" s="1"/>
  <c r="C44" i="20"/>
  <c r="C65" i="23" s="1"/>
  <c r="C45" i="20"/>
  <c r="C66" i="23" s="1"/>
  <c r="C46" i="20"/>
  <c r="C67" i="23" s="1"/>
  <c r="C47" i="20"/>
  <c r="C48" i="20"/>
  <c r="C49" i="20"/>
  <c r="C70" i="23" s="1"/>
  <c r="C50" i="20"/>
  <c r="C71" i="23" s="1"/>
  <c r="C51" i="20"/>
  <c r="C72" i="23" s="1"/>
  <c r="C53" i="20"/>
  <c r="C54" i="20"/>
  <c r="C75" i="23" s="1"/>
  <c r="C55" i="20"/>
  <c r="C76" i="23" s="1"/>
  <c r="F76" i="23" s="1"/>
  <c r="C56" i="20"/>
  <c r="C77" i="23" s="1"/>
  <c r="C57" i="20"/>
  <c r="C78" i="23" s="1"/>
  <c r="C58" i="20"/>
  <c r="C79" i="23" s="1"/>
  <c r="C59" i="20"/>
  <c r="C80" i="23" s="1"/>
  <c r="C61" i="20"/>
  <c r="C83" i="23" s="1"/>
  <c r="C62" i="20"/>
  <c r="C84" i="23" s="1"/>
  <c r="C63" i="20"/>
  <c r="C85" i="23" s="1"/>
  <c r="C64" i="20"/>
  <c r="C86" i="23" s="1"/>
  <c r="C65" i="20"/>
  <c r="C90" i="23" s="1"/>
  <c r="D17" i="25"/>
  <c r="F17" i="22"/>
  <c r="D18" i="25"/>
  <c r="E18" i="22"/>
  <c r="C18" i="24" s="1"/>
  <c r="F18" i="22"/>
  <c r="F19" i="22"/>
  <c r="D20" i="25"/>
  <c r="F20" i="22"/>
  <c r="D21" i="25"/>
  <c r="F21" i="22"/>
  <c r="D23" i="25"/>
  <c r="E23" i="22"/>
  <c r="C23" i="24" s="1"/>
  <c r="F23" i="22"/>
  <c r="D25" i="25"/>
  <c r="F25" i="22"/>
  <c r="D26" i="25"/>
  <c r="F26" i="22"/>
  <c r="D27" i="25"/>
  <c r="E27" i="22"/>
  <c r="C27" i="24" s="1"/>
  <c r="F27" i="22"/>
  <c r="D29" i="25"/>
  <c r="F29" i="22"/>
  <c r="D30" i="25"/>
  <c r="F30" i="22"/>
  <c r="D31" i="25"/>
  <c r="F31" i="22"/>
  <c r="F32" i="22"/>
  <c r="F33" i="22"/>
  <c r="D35" i="25"/>
  <c r="F35" i="22"/>
  <c r="D36" i="25"/>
  <c r="E36" i="22"/>
  <c r="C36" i="24" s="1"/>
  <c r="F36" i="22"/>
  <c r="E45" i="22"/>
  <c r="C45" i="24" s="1"/>
  <c r="F45" i="22"/>
  <c r="F47" i="22"/>
  <c r="E48" i="22"/>
  <c r="C48" i="24" s="1"/>
  <c r="D49" i="25"/>
  <c r="E55" i="22"/>
  <c r="C55" i="24" s="1"/>
  <c r="F55" i="22"/>
  <c r="F57" i="22"/>
  <c r="E59" i="22"/>
  <c r="C59" i="24" s="1"/>
  <c r="D61" i="25"/>
  <c r="F61" i="22"/>
  <c r="E62" i="22"/>
  <c r="C62" i="24" s="1"/>
  <c r="F63" i="22"/>
  <c r="D63" i="25"/>
  <c r="F64" i="22"/>
  <c r="E65" i="22"/>
  <c r="C65" i="24" s="1"/>
  <c r="F65" i="22"/>
  <c r="C6" i="23"/>
  <c r="E7" i="23"/>
  <c r="E8" i="23"/>
  <c r="C9" i="23"/>
  <c r="F10" i="23"/>
  <c r="F11" i="23"/>
  <c r="C12" i="23"/>
  <c r="D13" i="23"/>
  <c r="F13" i="23" s="1"/>
  <c r="D14" i="23"/>
  <c r="E14" i="23" s="1"/>
  <c r="C15" i="23"/>
  <c r="E16" i="23"/>
  <c r="F17" i="23"/>
  <c r="E18" i="23"/>
  <c r="D20" i="23"/>
  <c r="E20" i="23" s="1"/>
  <c r="D21" i="23"/>
  <c r="E21" i="23" s="1"/>
  <c r="F21" i="23"/>
  <c r="D25" i="23"/>
  <c r="C87" i="23"/>
  <c r="D88" i="23"/>
  <c r="E88" i="23" s="1"/>
  <c r="D89" i="23"/>
  <c r="E89" i="23" s="1"/>
  <c r="C25" i="20"/>
  <c r="C45" i="23" s="1"/>
  <c r="F49" i="9"/>
  <c r="F46" i="9"/>
  <c r="G32" i="25"/>
  <c r="G12" i="25"/>
  <c r="F16" i="15"/>
  <c r="J18" i="25"/>
  <c r="M18" i="25"/>
  <c r="F18" i="12"/>
  <c r="F53" i="22"/>
  <c r="D53" i="25"/>
  <c r="F12" i="18"/>
  <c r="E26" i="9"/>
  <c r="O26" i="24" s="1"/>
  <c r="P18" i="25"/>
  <c r="F14" i="15"/>
  <c r="E14" i="15"/>
  <c r="I14" i="24" s="1"/>
  <c r="J14" i="25"/>
  <c r="F15" i="15"/>
  <c r="S16" i="25"/>
  <c r="E18" i="15"/>
  <c r="I18" i="24" s="1"/>
  <c r="S18" i="25"/>
  <c r="F62" i="22"/>
  <c r="D57" i="25"/>
  <c r="F40" i="22"/>
  <c r="F46" i="22"/>
  <c r="E40" i="22"/>
  <c r="C40" i="24" s="1"/>
  <c r="D65" i="25"/>
  <c r="D62" i="25"/>
  <c r="E63" i="22"/>
  <c r="C63" i="24" s="1"/>
  <c r="E61" i="22"/>
  <c r="C61" i="24" s="1"/>
  <c r="D45" i="25"/>
  <c r="E49" i="22"/>
  <c r="C49" i="24" s="1"/>
  <c r="E44" i="22"/>
  <c r="C44" i="24" s="1"/>
  <c r="E31" i="22"/>
  <c r="C31" i="24" s="1"/>
  <c r="E30" i="22"/>
  <c r="C30" i="24" s="1"/>
  <c r="E29" i="22"/>
  <c r="C29" i="24" s="1"/>
  <c r="E47" i="12"/>
  <c r="L47" i="24" s="1"/>
  <c r="M43" i="25"/>
  <c r="E46" i="6"/>
  <c r="R46" i="24" s="1"/>
  <c r="F31" i="5"/>
  <c r="E13" i="6"/>
  <c r="R13" i="24" s="1"/>
  <c r="F31" i="13"/>
  <c r="J15" i="25"/>
  <c r="E15" i="15"/>
  <c r="I15" i="24" s="1"/>
  <c r="F31" i="17"/>
  <c r="F31" i="11"/>
  <c r="F31" i="9"/>
  <c r="E19" i="3"/>
  <c r="T19" i="24" s="1"/>
  <c r="F19" i="3"/>
  <c r="U19" i="25"/>
  <c r="F31" i="6"/>
  <c r="E15" i="10"/>
  <c r="N15" i="24" s="1"/>
  <c r="F15" i="6"/>
  <c r="E19" i="9"/>
  <c r="O19" i="24" s="1"/>
  <c r="P63" i="25"/>
  <c r="E48" i="7"/>
  <c r="Q48" i="24" s="1"/>
  <c r="E15" i="12"/>
  <c r="L15" i="24" s="1"/>
  <c r="U18" i="25"/>
  <c r="E18" i="3"/>
  <c r="T18" i="24" s="1"/>
  <c r="P16" i="25"/>
  <c r="E12" i="9"/>
  <c r="O12" i="24" s="1"/>
  <c r="S15" i="25"/>
  <c r="G13" i="25"/>
  <c r="M16" i="25"/>
  <c r="S14" i="25"/>
  <c r="F7" i="16"/>
  <c r="F11" i="15"/>
  <c r="F21" i="6"/>
  <c r="S21" i="25"/>
  <c r="E21" i="6"/>
  <c r="R21" i="24" s="1"/>
  <c r="F17" i="15"/>
  <c r="J17" i="25"/>
  <c r="E17" i="15"/>
  <c r="I17" i="24" s="1"/>
  <c r="J13" i="25"/>
  <c r="E13" i="15"/>
  <c r="I13" i="24" s="1"/>
  <c r="J12" i="25"/>
  <c r="F12" i="15"/>
  <c r="E25" i="9"/>
  <c r="O25" i="24" s="1"/>
  <c r="F13" i="15"/>
  <c r="F16" i="6"/>
  <c r="E12" i="15"/>
  <c r="I12" i="24" s="1"/>
  <c r="F30" i="8"/>
  <c r="F20" i="9"/>
  <c r="P20" i="25"/>
  <c r="J16" i="25"/>
  <c r="E16" i="15"/>
  <c r="I16" i="24" s="1"/>
  <c r="E16" i="12"/>
  <c r="L16" i="24" s="1"/>
  <c r="P13" i="25"/>
  <c r="F13" i="6"/>
  <c r="F16" i="9"/>
  <c r="E20" i="6"/>
  <c r="R20" i="24" s="1"/>
  <c r="F20" i="6"/>
  <c r="S20" i="25"/>
  <c r="E12" i="17"/>
  <c r="G12" i="24" s="1"/>
  <c r="I16" i="25"/>
  <c r="F12" i="6"/>
  <c r="E12" i="6"/>
  <c r="R12" i="24" s="1"/>
  <c r="S12" i="25"/>
  <c r="F32" i="9"/>
  <c r="P32" i="25"/>
  <c r="S17" i="25"/>
  <c r="F17" i="6"/>
  <c r="E32" i="9"/>
  <c r="O32" i="24" s="1"/>
  <c r="E17" i="6"/>
  <c r="R17" i="24" s="1"/>
  <c r="S8" i="25"/>
  <c r="F8" i="6"/>
  <c r="E8" i="6"/>
  <c r="R8" i="24" s="1"/>
  <c r="E14" i="6"/>
  <c r="R14" i="24" s="1"/>
  <c r="F14" i="6"/>
  <c r="E19" i="6"/>
  <c r="R19" i="24" s="1"/>
  <c r="S19" i="25"/>
  <c r="F19" i="6"/>
  <c r="F30" i="12"/>
  <c r="E12" i="8"/>
  <c r="P12" i="24" s="1"/>
  <c r="F18" i="6"/>
  <c r="E18" i="6"/>
  <c r="R18" i="24" s="1"/>
  <c r="F14" i="9"/>
  <c r="F18" i="9"/>
  <c r="E18" i="9"/>
  <c r="O18" i="24" s="1"/>
  <c r="P22" i="25"/>
  <c r="F22" i="22"/>
  <c r="D22" i="25"/>
  <c r="E22" i="22"/>
  <c r="C22" i="24" s="1"/>
  <c r="D48" i="25"/>
  <c r="F44" i="22"/>
  <c r="F48" i="22"/>
  <c r="E57" i="22"/>
  <c r="C57" i="24" s="1"/>
  <c r="F49" i="22"/>
  <c r="F21" i="9"/>
  <c r="E21" i="9"/>
  <c r="O21" i="24" s="1"/>
  <c r="E17" i="9"/>
  <c r="O17" i="24" s="1"/>
  <c r="P17" i="25"/>
  <c r="F13" i="9"/>
  <c r="E13" i="9"/>
  <c r="O13" i="24" s="1"/>
  <c r="F19" i="12"/>
  <c r="M19" i="25"/>
  <c r="E19" i="12"/>
  <c r="L19" i="24" s="1"/>
  <c r="F15" i="12"/>
  <c r="M15" i="25"/>
  <c r="F17" i="13"/>
  <c r="F17" i="9"/>
  <c r="F15" i="18"/>
  <c r="E15" i="18"/>
  <c r="F15" i="24" s="1"/>
  <c r="G11" i="25"/>
  <c r="E11" i="18"/>
  <c r="F11" i="24" s="1"/>
  <c r="F27" i="9"/>
  <c r="E27" i="9"/>
  <c r="O27" i="24" s="1"/>
  <c r="P23" i="25"/>
  <c r="F23" i="9"/>
  <c r="E15" i="9"/>
  <c r="O15" i="24" s="1"/>
  <c r="P15" i="25"/>
  <c r="E11" i="9"/>
  <c r="O11" i="24" s="1"/>
  <c r="F25" i="9"/>
  <c r="P21" i="25"/>
  <c r="P27" i="25"/>
  <c r="F15" i="9"/>
  <c r="G14" i="25"/>
  <c r="F14" i="18"/>
  <c r="E14" i="18"/>
  <c r="F14" i="24" s="1"/>
  <c r="P14" i="25"/>
  <c r="F10" i="17"/>
  <c r="H10" i="25"/>
  <c r="L22" i="25"/>
  <c r="F18" i="13"/>
  <c r="E10" i="9"/>
  <c r="O10" i="24" s="1"/>
  <c r="F14" i="13"/>
  <c r="E14" i="13"/>
  <c r="K14" i="24" s="1"/>
  <c r="P19" i="25"/>
  <c r="F19" i="9"/>
  <c r="F12" i="17"/>
  <c r="H11" i="25"/>
  <c r="E11" i="17"/>
  <c r="G11" i="24" s="1"/>
  <c r="L19" i="25"/>
  <c r="F11" i="17"/>
  <c r="F15" i="13"/>
  <c r="E18" i="13"/>
  <c r="K18" i="24" s="1"/>
  <c r="F13" i="17"/>
  <c r="E13" i="17"/>
  <c r="G13" i="24" s="1"/>
  <c r="H13" i="25"/>
  <c r="E22" i="14"/>
  <c r="J22" i="24" s="1"/>
  <c r="F20" i="13"/>
  <c r="E15" i="13"/>
  <c r="K15" i="24" s="1"/>
  <c r="F21" i="13"/>
  <c r="L13" i="25"/>
  <c r="E21" i="13"/>
  <c r="K21" i="24" s="1"/>
  <c r="F19" i="13"/>
  <c r="F13" i="13"/>
  <c r="E20" i="13"/>
  <c r="K20" i="24" s="1"/>
  <c r="L20" i="25"/>
  <c r="L23" i="25"/>
  <c r="F23" i="13"/>
  <c r="E23" i="13"/>
  <c r="K23" i="24" s="1"/>
  <c r="E17" i="13"/>
  <c r="K17" i="24" s="1"/>
  <c r="L17" i="25"/>
  <c r="F22" i="13"/>
  <c r="E22" i="13"/>
  <c r="K22" i="24" s="1"/>
  <c r="F9" i="13"/>
  <c r="F9" i="19"/>
  <c r="Q53" i="25"/>
  <c r="E54" i="10"/>
  <c r="N54" i="24" s="1"/>
  <c r="F58" i="14"/>
  <c r="J59" i="25"/>
  <c r="F43" i="16"/>
  <c r="F41" i="11"/>
  <c r="E49" i="10"/>
  <c r="N49" i="24" s="1"/>
  <c r="F49" i="10"/>
  <c r="F15" i="17"/>
  <c r="L12" i="25"/>
  <c r="E14" i="12"/>
  <c r="L14" i="24" s="1"/>
  <c r="E17" i="12"/>
  <c r="L17" i="24" s="1"/>
  <c r="F17" i="12"/>
  <c r="M14" i="25"/>
  <c r="F26" i="7"/>
  <c r="R26" i="25"/>
  <c r="E26" i="7"/>
  <c r="Q26" i="24" s="1"/>
  <c r="R25" i="25"/>
  <c r="E25" i="7"/>
  <c r="Q25" i="24" s="1"/>
  <c r="F25" i="7"/>
  <c r="D58" i="25"/>
  <c r="E9" i="18"/>
  <c r="F9" i="24" s="1"/>
  <c r="L9" i="25"/>
  <c r="F9" i="25"/>
  <c r="F10" i="19"/>
  <c r="P10" i="25"/>
  <c r="G10" i="25"/>
  <c r="F10" i="13"/>
  <c r="F10" i="25"/>
  <c r="E10" i="18"/>
  <c r="F10" i="24" s="1"/>
  <c r="L10" i="25"/>
  <c r="E10" i="19"/>
  <c r="E10" i="24" s="1"/>
  <c r="F11" i="9"/>
  <c r="L11" i="25"/>
  <c r="F11" i="13"/>
  <c r="F11" i="25"/>
  <c r="J11" i="25"/>
  <c r="F11" i="19"/>
  <c r="E11" i="19"/>
  <c r="E11" i="24" s="1"/>
  <c r="F10" i="15"/>
  <c r="E9" i="6"/>
  <c r="R9" i="24" s="1"/>
  <c r="E9" i="19"/>
  <c r="E9" i="24" s="1"/>
  <c r="S9" i="25"/>
  <c r="J9" i="25"/>
  <c r="E30" i="6"/>
  <c r="R30" i="24" s="1"/>
  <c r="E11" i="6"/>
  <c r="R11" i="24" s="1"/>
  <c r="E10" i="6"/>
  <c r="R10" i="24" s="1"/>
  <c r="S10" i="25"/>
  <c r="F10" i="6"/>
  <c r="S11" i="25"/>
  <c r="F51" i="22"/>
  <c r="D41" i="25"/>
  <c r="F12" i="25"/>
  <c r="F12" i="19"/>
  <c r="D54" i="23" l="1"/>
  <c r="F34" i="20"/>
  <c r="F62" i="25"/>
  <c r="F25" i="19"/>
  <c r="D24" i="19"/>
  <c r="E24" i="19" s="1"/>
  <c r="E24" i="24" s="1"/>
  <c r="F59" i="10"/>
  <c r="E45" i="3"/>
  <c r="T45" i="24" s="1"/>
  <c r="E57" i="8"/>
  <c r="P57" i="24" s="1"/>
  <c r="E19" i="14"/>
  <c r="J19" i="24" s="1"/>
  <c r="F12" i="8"/>
  <c r="G26" i="25"/>
  <c r="E49" i="18"/>
  <c r="F49" i="24" s="1"/>
  <c r="F9" i="23"/>
  <c r="E7" i="14"/>
  <c r="J7" i="24" s="1"/>
  <c r="F27" i="7"/>
  <c r="E7" i="17"/>
  <c r="G7" i="24" s="1"/>
  <c r="M46" i="25"/>
  <c r="E43" i="7"/>
  <c r="Q43" i="24" s="1"/>
  <c r="E7" i="15"/>
  <c r="I7" i="24" s="1"/>
  <c r="E7" i="10"/>
  <c r="N7" i="24" s="1"/>
  <c r="L7" i="25"/>
  <c r="E7" i="16"/>
  <c r="H7" i="24" s="1"/>
  <c r="E7" i="6"/>
  <c r="R7" i="24" s="1"/>
  <c r="E7" i="19"/>
  <c r="E7" i="24" s="1"/>
  <c r="M56" i="25"/>
  <c r="R40" i="25"/>
  <c r="G54" i="25"/>
  <c r="I56" i="25"/>
  <c r="F58" i="18"/>
  <c r="F49" i="19"/>
  <c r="L48" i="25"/>
  <c r="F25" i="8"/>
  <c r="F29" i="18"/>
  <c r="E26" i="18"/>
  <c r="F26" i="24" s="1"/>
  <c r="E53" i="17"/>
  <c r="G53" i="24" s="1"/>
  <c r="J19" i="25"/>
  <c r="C39" i="19"/>
  <c r="E34" i="20"/>
  <c r="E11" i="11"/>
  <c r="M11" i="24" s="1"/>
  <c r="E56" i="12"/>
  <c r="L56" i="24" s="1"/>
  <c r="F40" i="8"/>
  <c r="E54" i="18"/>
  <c r="F54" i="24" s="1"/>
  <c r="H48" i="25"/>
  <c r="E41" i="15"/>
  <c r="I41" i="24" s="1"/>
  <c r="U49" i="25"/>
  <c r="F43" i="6"/>
  <c r="F8" i="14"/>
  <c r="T27" i="25"/>
  <c r="E8" i="14"/>
  <c r="J8" i="24" s="1"/>
  <c r="E15" i="17"/>
  <c r="G15" i="24" s="1"/>
  <c r="Q20" i="25"/>
  <c r="E21" i="16"/>
  <c r="H21" i="24" s="1"/>
  <c r="E47" i="8"/>
  <c r="P47" i="24" s="1"/>
  <c r="N55" i="25"/>
  <c r="T55" i="25"/>
  <c r="E47" i="16"/>
  <c r="H47" i="24" s="1"/>
  <c r="K25" i="25"/>
  <c r="F13" i="8"/>
  <c r="Q11" i="25"/>
  <c r="F89" i="23"/>
  <c r="F36" i="15"/>
  <c r="F29" i="11"/>
  <c r="F17" i="16"/>
  <c r="J36" i="25"/>
  <c r="F29" i="7"/>
  <c r="N36" i="25"/>
  <c r="F25" i="11"/>
  <c r="U61" i="25"/>
  <c r="F26" i="14"/>
  <c r="E65" i="11"/>
  <c r="M65" i="24" s="1"/>
  <c r="E29" i="14"/>
  <c r="J29" i="24" s="1"/>
  <c r="F54" i="7"/>
  <c r="F58" i="8"/>
  <c r="F11" i="8"/>
  <c r="M30" i="25"/>
  <c r="E58" i="16"/>
  <c r="H58" i="24" s="1"/>
  <c r="D6" i="23"/>
  <c r="E6" i="23" s="1"/>
  <c r="P41" i="25"/>
  <c r="L49" i="25"/>
  <c r="E19" i="11"/>
  <c r="M19" i="24" s="1"/>
  <c r="F29" i="14"/>
  <c r="E11" i="12"/>
  <c r="L11" i="24" s="1"/>
  <c r="H31" i="25"/>
  <c r="F13" i="16"/>
  <c r="E48" i="11"/>
  <c r="M48" i="24" s="1"/>
  <c r="E14" i="14"/>
  <c r="J14" i="24" s="1"/>
  <c r="N8" i="25"/>
  <c r="E36" i="11"/>
  <c r="M36" i="24" s="1"/>
  <c r="F7" i="15"/>
  <c r="E57" i="9"/>
  <c r="O57" i="24" s="1"/>
  <c r="E44" i="9"/>
  <c r="O44" i="24" s="1"/>
  <c r="F58" i="12"/>
  <c r="F54" i="11"/>
  <c r="E33" i="5"/>
  <c r="S33" i="24" s="1"/>
  <c r="E8" i="11"/>
  <c r="M8" i="24" s="1"/>
  <c r="F27" i="13"/>
  <c r="F21" i="25"/>
  <c r="E33" i="9"/>
  <c r="O33" i="24" s="1"/>
  <c r="S7" i="25"/>
  <c r="M36" i="25"/>
  <c r="U22" i="25"/>
  <c r="E41" i="17"/>
  <c r="G41" i="24" s="1"/>
  <c r="N17" i="25"/>
  <c r="F36" i="6"/>
  <c r="U33" i="25"/>
  <c r="F64" i="10"/>
  <c r="F56" i="18"/>
  <c r="F22" i="3"/>
  <c r="T58" i="25"/>
  <c r="F41" i="12"/>
  <c r="P48" i="25"/>
  <c r="F53" i="9"/>
  <c r="S50" i="25"/>
  <c r="K22" i="25"/>
  <c r="F22" i="10"/>
  <c r="N12" i="25"/>
  <c r="E61" i="17"/>
  <c r="G61" i="24" s="1"/>
  <c r="E36" i="6"/>
  <c r="R36" i="24" s="1"/>
  <c r="E48" i="3"/>
  <c r="T48" i="24" s="1"/>
  <c r="F65" i="10"/>
  <c r="F25" i="23"/>
  <c r="F20" i="23"/>
  <c r="J45" i="25"/>
  <c r="E53" i="9"/>
  <c r="O53" i="24" s="1"/>
  <c r="U44" i="25"/>
  <c r="E41" i="6"/>
  <c r="R41" i="24" s="1"/>
  <c r="F44" i="25"/>
  <c r="K14" i="25"/>
  <c r="J7" i="25"/>
  <c r="F43" i="7"/>
  <c r="F56" i="8"/>
  <c r="F56" i="7"/>
  <c r="E45" i="5"/>
  <c r="S45" i="24" s="1"/>
  <c r="E23" i="6"/>
  <c r="R23" i="24" s="1"/>
  <c r="U11" i="25"/>
  <c r="F44" i="9"/>
  <c r="S41" i="25"/>
  <c r="E50" i="12"/>
  <c r="L50" i="24" s="1"/>
  <c r="E44" i="10"/>
  <c r="N44" i="24" s="1"/>
  <c r="Q43" i="25"/>
  <c r="U40" i="25"/>
  <c r="E54" i="11"/>
  <c r="M54" i="24" s="1"/>
  <c r="E44" i="19"/>
  <c r="E44" i="24" s="1"/>
  <c r="F25" i="14"/>
  <c r="E27" i="13"/>
  <c r="K27" i="24" s="1"/>
  <c r="E15" i="11"/>
  <c r="M15" i="24" s="1"/>
  <c r="R33" i="25"/>
  <c r="O33" i="25"/>
  <c r="R29" i="25"/>
  <c r="F7" i="6"/>
  <c r="E25" i="11"/>
  <c r="M25" i="24" s="1"/>
  <c r="E51" i="7"/>
  <c r="Q51" i="24" s="1"/>
  <c r="E51" i="8"/>
  <c r="P51" i="24" s="1"/>
  <c r="F57" i="25"/>
  <c r="F51" i="7"/>
  <c r="T63" i="25"/>
  <c r="R56" i="25"/>
  <c r="T45" i="25"/>
  <c r="F12" i="11"/>
  <c r="F19" i="14"/>
  <c r="O44" i="25"/>
  <c r="E43" i="8"/>
  <c r="P43" i="24" s="1"/>
  <c r="E40" i="3"/>
  <c r="T40" i="24" s="1"/>
  <c r="E55" i="6"/>
  <c r="R55" i="24" s="1"/>
  <c r="E21" i="14"/>
  <c r="J21" i="24" s="1"/>
  <c r="F27" i="25"/>
  <c r="E29" i="16"/>
  <c r="H29" i="24" s="1"/>
  <c r="F9" i="14"/>
  <c r="U57" i="25"/>
  <c r="E40" i="13"/>
  <c r="K40" i="24" s="1"/>
  <c r="E54" i="16"/>
  <c r="H54" i="24" s="1"/>
  <c r="E50" i="16"/>
  <c r="H50" i="24" s="1"/>
  <c r="L56" i="25"/>
  <c r="E48" i="9"/>
  <c r="O48" i="24" s="1"/>
  <c r="E53" i="3"/>
  <c r="T53" i="24" s="1"/>
  <c r="F26" i="5"/>
  <c r="F29" i="16"/>
  <c r="T16" i="25"/>
  <c r="F23" i="17"/>
  <c r="R17" i="25"/>
  <c r="G8" i="25"/>
  <c r="E33" i="8"/>
  <c r="P33" i="24" s="1"/>
  <c r="M26" i="25"/>
  <c r="E56" i="8"/>
  <c r="P56" i="24" s="1"/>
  <c r="Q51" i="25"/>
  <c r="F50" i="13"/>
  <c r="J57" i="25"/>
  <c r="E55" i="12"/>
  <c r="L55" i="24" s="1"/>
  <c r="F11" i="10"/>
  <c r="E47" i="5"/>
  <c r="S47" i="24" s="1"/>
  <c r="F25" i="25"/>
  <c r="F64" i="8"/>
  <c r="E9" i="10"/>
  <c r="N9" i="24" s="1"/>
  <c r="E45" i="10"/>
  <c r="N45" i="24" s="1"/>
  <c r="E51" i="6"/>
  <c r="R51" i="24" s="1"/>
  <c r="F40" i="7"/>
  <c r="M40" i="25"/>
  <c r="F50" i="3"/>
  <c r="N43" i="25"/>
  <c r="F48" i="17"/>
  <c r="E58" i="18"/>
  <c r="F58" i="24" s="1"/>
  <c r="K58" i="25"/>
  <c r="E48" i="13"/>
  <c r="K48" i="24" s="1"/>
  <c r="E46" i="15"/>
  <c r="I46" i="24" s="1"/>
  <c r="E33" i="14"/>
  <c r="J33" i="24" s="1"/>
  <c r="L25" i="25"/>
  <c r="E13" i="5"/>
  <c r="S13" i="24" s="1"/>
  <c r="F20" i="8"/>
  <c r="G17" i="25"/>
  <c r="E31" i="15"/>
  <c r="I31" i="24" s="1"/>
  <c r="E57" i="7"/>
  <c r="Q57" i="24" s="1"/>
  <c r="Q44" i="25"/>
  <c r="H57" i="25"/>
  <c r="F45" i="25"/>
  <c r="F19" i="15"/>
  <c r="F49" i="14"/>
  <c r="E64" i="8"/>
  <c r="P64" i="24" s="1"/>
  <c r="E52" i="22"/>
  <c r="C52" i="24" s="1"/>
  <c r="E11" i="10"/>
  <c r="N11" i="24" s="1"/>
  <c r="E43" i="15"/>
  <c r="I43" i="24" s="1"/>
  <c r="M57" i="25"/>
  <c r="E12" i="10"/>
  <c r="N12" i="24" s="1"/>
  <c r="E25" i="16"/>
  <c r="H25" i="24" s="1"/>
  <c r="E54" i="13"/>
  <c r="K54" i="24" s="1"/>
  <c r="E65" i="5"/>
  <c r="S65" i="24" s="1"/>
  <c r="O20" i="25"/>
  <c r="R27" i="25"/>
  <c r="F30" i="25"/>
  <c r="F9" i="10"/>
  <c r="E30" i="15"/>
  <c r="I30" i="24" s="1"/>
  <c r="E32" i="5"/>
  <c r="S32" i="24" s="1"/>
  <c r="K46" i="25"/>
  <c r="E41" i="11"/>
  <c r="M41" i="24" s="1"/>
  <c r="R53" i="25"/>
  <c r="F53" i="13"/>
  <c r="S43" i="25"/>
  <c r="E43" i="11"/>
  <c r="M43" i="24" s="1"/>
  <c r="T59" i="25"/>
  <c r="E44" i="12"/>
  <c r="L44" i="24" s="1"/>
  <c r="K50" i="25"/>
  <c r="F59" i="9"/>
  <c r="L31" i="25"/>
  <c r="F15" i="14"/>
  <c r="F13" i="25"/>
  <c r="Q25" i="25"/>
  <c r="E17" i="18"/>
  <c r="F17" i="24" s="1"/>
  <c r="E31" i="8"/>
  <c r="P31" i="24" s="1"/>
  <c r="E35" i="15"/>
  <c r="I35" i="24" s="1"/>
  <c r="E55" i="15"/>
  <c r="I55" i="24" s="1"/>
  <c r="G49" i="25"/>
  <c r="E64" i="18"/>
  <c r="F64" i="24" s="1"/>
  <c r="E65" i="10"/>
  <c r="N65" i="24" s="1"/>
  <c r="S31" i="25"/>
  <c r="F36" i="17"/>
  <c r="S56" i="25"/>
  <c r="E63" i="7"/>
  <c r="Q63" i="24" s="1"/>
  <c r="R48" i="25"/>
  <c r="E50" i="5"/>
  <c r="S50" i="24" s="1"/>
  <c r="F9" i="11"/>
  <c r="M58" i="25"/>
  <c r="F54" i="6"/>
  <c r="F7" i="13"/>
  <c r="E23" i="7"/>
  <c r="Q23" i="24" s="1"/>
  <c r="F26" i="16"/>
  <c r="E46" i="17"/>
  <c r="G46" i="24" s="1"/>
  <c r="E13" i="3"/>
  <c r="T13" i="24" s="1"/>
  <c r="E32" i="3"/>
  <c r="T32" i="24" s="1"/>
  <c r="E36" i="16"/>
  <c r="H36" i="24" s="1"/>
  <c r="E22" i="6"/>
  <c r="R22" i="24" s="1"/>
  <c r="F30" i="14"/>
  <c r="E10" i="5"/>
  <c r="S10" i="24" s="1"/>
  <c r="K10" i="25"/>
  <c r="T10" i="25"/>
  <c r="E32" i="12"/>
  <c r="L32" i="24" s="1"/>
  <c r="F58" i="13"/>
  <c r="F51" i="14"/>
  <c r="E43" i="3"/>
  <c r="T43" i="24" s="1"/>
  <c r="F45" i="13"/>
  <c r="G51" i="25"/>
  <c r="F41" i="3"/>
  <c r="F43" i="5"/>
  <c r="F45" i="12"/>
  <c r="M45" i="25"/>
  <c r="F50" i="7"/>
  <c r="K28" i="25"/>
  <c r="E14" i="5"/>
  <c r="S14" i="24" s="1"/>
  <c r="E27" i="5"/>
  <c r="S27" i="24" s="1"/>
  <c r="E29" i="11"/>
  <c r="M29" i="24" s="1"/>
  <c r="F8" i="7"/>
  <c r="H14" i="25"/>
  <c r="F23" i="7"/>
  <c r="F28" i="25"/>
  <c r="F12" i="10"/>
  <c r="F18" i="5"/>
  <c r="E15" i="14"/>
  <c r="J15" i="24" s="1"/>
  <c r="F17" i="7"/>
  <c r="E18" i="7"/>
  <c r="Q18" i="24" s="1"/>
  <c r="T21" i="25"/>
  <c r="E26" i="6"/>
  <c r="R26" i="24" s="1"/>
  <c r="F19" i="16"/>
  <c r="N28" i="25"/>
  <c r="N21" i="25"/>
  <c r="U23" i="25"/>
  <c r="E45" i="13"/>
  <c r="K45" i="24" s="1"/>
  <c r="E55" i="19"/>
  <c r="E55" i="24" s="1"/>
  <c r="E21" i="8"/>
  <c r="P21" i="24" s="1"/>
  <c r="F17" i="3"/>
  <c r="F40" i="11"/>
  <c r="N47" i="25"/>
  <c r="F48" i="15"/>
  <c r="U32" i="25"/>
  <c r="E8" i="7"/>
  <c r="Q8" i="24" s="1"/>
  <c r="F51" i="15"/>
  <c r="L54" i="25"/>
  <c r="E36" i="10"/>
  <c r="N36" i="24" s="1"/>
  <c r="E47" i="14"/>
  <c r="J47" i="24" s="1"/>
  <c r="F8" i="18"/>
  <c r="E18" i="8"/>
  <c r="P18" i="24" s="1"/>
  <c r="S27" i="25"/>
  <c r="E30" i="19"/>
  <c r="E30" i="24" s="1"/>
  <c r="F10" i="14"/>
  <c r="F51" i="3"/>
  <c r="K43" i="25"/>
  <c r="M48" i="25"/>
  <c r="F45" i="7"/>
  <c r="E47" i="18"/>
  <c r="F47" i="24" s="1"/>
  <c r="E53" i="12"/>
  <c r="L53" i="24" s="1"/>
  <c r="E17" i="5"/>
  <c r="S17" i="24" s="1"/>
  <c r="E8" i="5"/>
  <c r="S8" i="24" s="1"/>
  <c r="F21" i="5"/>
  <c r="F17" i="11"/>
  <c r="N23" i="25"/>
  <c r="O19" i="25"/>
  <c r="F8" i="5"/>
  <c r="F13" i="19"/>
  <c r="O28" i="25"/>
  <c r="M33" i="25"/>
  <c r="E17" i="8"/>
  <c r="P17" i="24" s="1"/>
  <c r="F23" i="18"/>
  <c r="S26" i="25"/>
  <c r="F26" i="12"/>
  <c r="P28" i="25"/>
  <c r="J21" i="25"/>
  <c r="U35" i="25"/>
  <c r="E19" i="10"/>
  <c r="N19" i="24" s="1"/>
  <c r="E49" i="13"/>
  <c r="K49" i="24" s="1"/>
  <c r="E61" i="10"/>
  <c r="N61" i="24" s="1"/>
  <c r="F22" i="6"/>
  <c r="F20" i="10"/>
  <c r="F21" i="11"/>
  <c r="E40" i="11"/>
  <c r="M40" i="24" s="1"/>
  <c r="E64" i="3"/>
  <c r="T64" i="24" s="1"/>
  <c r="E26" i="16"/>
  <c r="H26" i="24" s="1"/>
  <c r="E24" i="13"/>
  <c r="K24" i="24" s="1"/>
  <c r="F32" i="12"/>
  <c r="E62" i="18"/>
  <c r="F62" i="24" s="1"/>
  <c r="G62" i="25"/>
  <c r="F65" i="14"/>
  <c r="K65" i="25"/>
  <c r="U36" i="25"/>
  <c r="E36" i="3"/>
  <c r="T36" i="24" s="1"/>
  <c r="F36" i="9"/>
  <c r="E36" i="9"/>
  <c r="O36" i="24" s="1"/>
  <c r="P36" i="25"/>
  <c r="E44" i="14"/>
  <c r="J44" i="24" s="1"/>
  <c r="K44" i="25"/>
  <c r="I55" i="25"/>
  <c r="E55" i="16"/>
  <c r="H55" i="24" s="1"/>
  <c r="I41" i="25"/>
  <c r="F41" i="16"/>
  <c r="E53" i="18"/>
  <c r="F53" i="24" s="1"/>
  <c r="F53" i="18"/>
  <c r="F25" i="18"/>
  <c r="E25" i="18"/>
  <c r="F25" i="24" s="1"/>
  <c r="G20" i="25"/>
  <c r="F20" i="18"/>
  <c r="G16" i="25"/>
  <c r="E16" i="18"/>
  <c r="F16" i="24" s="1"/>
  <c r="Q28" i="25"/>
  <c r="E28" i="8"/>
  <c r="P28" i="24" s="1"/>
  <c r="E19" i="8"/>
  <c r="P19" i="24" s="1"/>
  <c r="Q19" i="25"/>
  <c r="F8" i="8"/>
  <c r="Q8" i="25"/>
  <c r="F22" i="15"/>
  <c r="E22" i="15"/>
  <c r="I22" i="24" s="1"/>
  <c r="F15" i="16"/>
  <c r="E15" i="16"/>
  <c r="H15" i="24" s="1"/>
  <c r="E12" i="12"/>
  <c r="L12" i="24" s="1"/>
  <c r="F12" i="12"/>
  <c r="M12" i="25"/>
  <c r="F45" i="15"/>
  <c r="J54" i="25"/>
  <c r="F43" i="17"/>
  <c r="F44" i="18"/>
  <c r="E62" i="19"/>
  <c r="E62" i="24" s="1"/>
  <c r="E15" i="8"/>
  <c r="P15" i="24" s="1"/>
  <c r="F20" i="16"/>
  <c r="E26" i="19"/>
  <c r="E26" i="24" s="1"/>
  <c r="F26" i="19"/>
  <c r="F21" i="7"/>
  <c r="R21" i="25"/>
  <c r="F16" i="7"/>
  <c r="E16" i="7"/>
  <c r="Q16" i="24" s="1"/>
  <c r="E59" i="13"/>
  <c r="K59" i="24" s="1"/>
  <c r="L59" i="25"/>
  <c r="F46" i="13"/>
  <c r="E46" i="13"/>
  <c r="K46" i="24" s="1"/>
  <c r="E41" i="13"/>
  <c r="K41" i="24" s="1"/>
  <c r="F41" i="13"/>
  <c r="J53" i="25"/>
  <c r="F53" i="15"/>
  <c r="J44" i="25"/>
  <c r="F44" i="15"/>
  <c r="E50" i="17"/>
  <c r="G50" i="24" s="1"/>
  <c r="H50" i="25"/>
  <c r="E7" i="18"/>
  <c r="F7" i="24" s="1"/>
  <c r="G7" i="25"/>
  <c r="F7" i="18"/>
  <c r="E28" i="18"/>
  <c r="F28" i="24" s="1"/>
  <c r="G28" i="25"/>
  <c r="Q27" i="25"/>
  <c r="F27" i="8"/>
  <c r="E27" i="8"/>
  <c r="P27" i="24" s="1"/>
  <c r="Q14" i="25"/>
  <c r="E14" i="8"/>
  <c r="P14" i="24" s="1"/>
  <c r="P40" i="25"/>
  <c r="O51" i="25"/>
  <c r="E51" i="3"/>
  <c r="T51" i="24" s="1"/>
  <c r="E53" i="5"/>
  <c r="S53" i="24" s="1"/>
  <c r="F50" i="8"/>
  <c r="F50" i="16"/>
  <c r="H59" i="25"/>
  <c r="F49" i="12"/>
  <c r="E54" i="15"/>
  <c r="I54" i="24" s="1"/>
  <c r="E43" i="18"/>
  <c r="F43" i="24" s="1"/>
  <c r="E32" i="17"/>
  <c r="G32" i="24" s="1"/>
  <c r="F16" i="18"/>
  <c r="F27" i="6"/>
  <c r="F32" i="15"/>
  <c r="G25" i="25"/>
  <c r="E28" i="6"/>
  <c r="R28" i="24" s="1"/>
  <c r="L41" i="25"/>
  <c r="E48" i="5"/>
  <c r="S48" i="24" s="1"/>
  <c r="E51" i="14"/>
  <c r="J51" i="24" s="1"/>
  <c r="N53" i="25"/>
  <c r="E57" i="5"/>
  <c r="S57" i="24" s="1"/>
  <c r="T44" i="25"/>
  <c r="E49" i="12"/>
  <c r="L49" i="24" s="1"/>
  <c r="E59" i="17"/>
  <c r="G59" i="24" s="1"/>
  <c r="F43" i="18"/>
  <c r="F58" i="15"/>
  <c r="E56" i="9"/>
  <c r="O56" i="24" s="1"/>
  <c r="G44" i="25"/>
  <c r="F32" i="25"/>
  <c r="G29" i="25"/>
  <c r="E14" i="10"/>
  <c r="N14" i="24" s="1"/>
  <c r="F20" i="19"/>
  <c r="F32" i="7"/>
  <c r="F21" i="17"/>
  <c r="T14" i="25"/>
  <c r="E31" i="7"/>
  <c r="Q31" i="24" s="1"/>
  <c r="I14" i="25"/>
  <c r="E19" i="16"/>
  <c r="H19" i="24" s="1"/>
  <c r="S23" i="25"/>
  <c r="E55" i="17"/>
  <c r="G55" i="24" s="1"/>
  <c r="E49" i="15"/>
  <c r="I49" i="24" s="1"/>
  <c r="E56" i="18"/>
  <c r="F56" i="24" s="1"/>
  <c r="E61" i="12"/>
  <c r="L61" i="24" s="1"/>
  <c r="F27" i="3"/>
  <c r="S58" i="25"/>
  <c r="U64" i="25"/>
  <c r="F48" i="18"/>
  <c r="M64" i="25"/>
  <c r="F64" i="12"/>
  <c r="F61" i="9"/>
  <c r="E61" i="9"/>
  <c r="O61" i="24" s="1"/>
  <c r="E33" i="19"/>
  <c r="E33" i="24" s="1"/>
  <c r="F33" i="25"/>
  <c r="M22" i="25"/>
  <c r="F22" i="12"/>
  <c r="E22" i="16"/>
  <c r="H22" i="24" s="1"/>
  <c r="I22" i="25"/>
  <c r="F22" i="16"/>
  <c r="Q10" i="25"/>
  <c r="E10" i="8"/>
  <c r="P10" i="24" s="1"/>
  <c r="E30" i="17"/>
  <c r="G30" i="24" s="1"/>
  <c r="F30" i="17"/>
  <c r="E30" i="8"/>
  <c r="P30" i="24" s="1"/>
  <c r="Q30" i="25"/>
  <c r="T29" i="25"/>
  <c r="E29" i="5"/>
  <c r="S29" i="24" s="1"/>
  <c r="E29" i="15"/>
  <c r="I29" i="24" s="1"/>
  <c r="J29" i="25"/>
  <c r="F51" i="13"/>
  <c r="L51" i="25"/>
  <c r="E47" i="13"/>
  <c r="K47" i="24" s="1"/>
  <c r="L47" i="25"/>
  <c r="I59" i="25"/>
  <c r="E59" i="16"/>
  <c r="H59" i="24" s="1"/>
  <c r="E57" i="18"/>
  <c r="F57" i="24" s="1"/>
  <c r="G57" i="25"/>
  <c r="F27" i="15"/>
  <c r="J27" i="25"/>
  <c r="E8" i="15"/>
  <c r="I8" i="24" s="1"/>
  <c r="F8" i="15"/>
  <c r="F27" i="16"/>
  <c r="E27" i="16"/>
  <c r="H27" i="24" s="1"/>
  <c r="T13" i="25"/>
  <c r="F56" i="13"/>
  <c r="J49" i="25"/>
  <c r="E19" i="5"/>
  <c r="S19" i="24" s="1"/>
  <c r="E31" i="5"/>
  <c r="S31" i="24" s="1"/>
  <c r="T19" i="25"/>
  <c r="F32" i="13"/>
  <c r="E23" i="8"/>
  <c r="P23" i="24" s="1"/>
  <c r="F44" i="14"/>
  <c r="L29" i="25"/>
  <c r="N22" i="25"/>
  <c r="T28" i="25"/>
  <c r="E28" i="5"/>
  <c r="S28" i="24" s="1"/>
  <c r="F40" i="5"/>
  <c r="E40" i="5"/>
  <c r="S40" i="24" s="1"/>
  <c r="T40" i="25"/>
  <c r="E47" i="19"/>
  <c r="E47" i="24" s="1"/>
  <c r="F47" i="25"/>
  <c r="N44" i="25"/>
  <c r="F44" i="11"/>
  <c r="E44" i="11"/>
  <c r="M44" i="24" s="1"/>
  <c r="M54" i="25"/>
  <c r="F54" i="12"/>
  <c r="E54" i="12"/>
  <c r="L54" i="24" s="1"/>
  <c r="F56" i="14"/>
  <c r="E56" i="14"/>
  <c r="J56" i="24" s="1"/>
  <c r="E19" i="18"/>
  <c r="F19" i="24" s="1"/>
  <c r="G19" i="25"/>
  <c r="F22" i="8"/>
  <c r="Q22" i="25"/>
  <c r="F26" i="15"/>
  <c r="E26" i="15"/>
  <c r="I26" i="24" s="1"/>
  <c r="I32" i="25"/>
  <c r="E32" i="16"/>
  <c r="H32" i="24" s="1"/>
  <c r="F32" i="16"/>
  <c r="P47" i="25"/>
  <c r="F43" i="10"/>
  <c r="F22" i="11"/>
  <c r="F16" i="19"/>
  <c r="G23" i="25"/>
  <c r="F18" i="8"/>
  <c r="E40" i="18"/>
  <c r="F40" i="24" s="1"/>
  <c r="K62" i="25"/>
  <c r="F50" i="17"/>
  <c r="E20" i="16"/>
  <c r="H20" i="24" s="1"/>
  <c r="F65" i="17"/>
  <c r="E65" i="17"/>
  <c r="G65" i="24" s="1"/>
  <c r="H41" i="25"/>
  <c r="F59" i="16"/>
  <c r="F62" i="3"/>
  <c r="E62" i="3"/>
  <c r="T62" i="24" s="1"/>
  <c r="I15" i="25"/>
  <c r="E19" i="7"/>
  <c r="Q19" i="24" s="1"/>
  <c r="F19" i="7"/>
  <c r="E13" i="10"/>
  <c r="N13" i="24" s="1"/>
  <c r="O13" i="25"/>
  <c r="H25" i="25"/>
  <c r="E25" i="17"/>
  <c r="G25" i="24" s="1"/>
  <c r="H20" i="25"/>
  <c r="F20" i="17"/>
  <c r="C38" i="19"/>
  <c r="E32" i="11"/>
  <c r="M32" i="24" s="1"/>
  <c r="N32" i="25"/>
  <c r="E27" i="14"/>
  <c r="J27" i="24" s="1"/>
  <c r="K27" i="25"/>
  <c r="R58" i="25"/>
  <c r="E58" i="7"/>
  <c r="Q58" i="24" s="1"/>
  <c r="F56" i="11"/>
  <c r="E56" i="11"/>
  <c r="M56" i="24" s="1"/>
  <c r="F51" i="11"/>
  <c r="N51" i="25"/>
  <c r="S33" i="25"/>
  <c r="E33" i="6"/>
  <c r="R33" i="24" s="1"/>
  <c r="E7" i="5"/>
  <c r="S7" i="24" s="1"/>
  <c r="T7" i="25"/>
  <c r="F17" i="14"/>
  <c r="K17" i="25"/>
  <c r="F45" i="8"/>
  <c r="Q45" i="25"/>
  <c r="E46" i="9"/>
  <c r="O46" i="24" s="1"/>
  <c r="P46" i="25"/>
  <c r="O50" i="25"/>
  <c r="F50" i="10"/>
  <c r="E12" i="7"/>
  <c r="Q12" i="24" s="1"/>
  <c r="R12" i="25"/>
  <c r="M7" i="25"/>
  <c r="E7" i="12"/>
  <c r="L7" i="24" s="1"/>
  <c r="F40" i="10"/>
  <c r="E40" i="10"/>
  <c r="N40" i="24" s="1"/>
  <c r="F9" i="3"/>
  <c r="U9" i="25"/>
  <c r="E24" i="22"/>
  <c r="C24" i="24" s="1"/>
  <c r="I30" i="25"/>
  <c r="F13" i="3"/>
  <c r="E49" i="8"/>
  <c r="P49" i="24" s="1"/>
  <c r="P55" i="25"/>
  <c r="E59" i="9"/>
  <c r="O59" i="24" s="1"/>
  <c r="T51" i="25"/>
  <c r="E54" i="19"/>
  <c r="E54" i="24" s="1"/>
  <c r="E55" i="10"/>
  <c r="N55" i="24" s="1"/>
  <c r="E64" i="19"/>
  <c r="E64" i="24" s="1"/>
  <c r="K20" i="25"/>
  <c r="O14" i="25"/>
  <c r="F36" i="25"/>
  <c r="S44" i="25"/>
  <c r="E18" i="10"/>
  <c r="N18" i="24" s="1"/>
  <c r="U55" i="25"/>
  <c r="E31" i="3"/>
  <c r="T31" i="24" s="1"/>
  <c r="U31" i="25"/>
  <c r="Q36" i="25"/>
  <c r="E36" i="8"/>
  <c r="P36" i="24" s="1"/>
  <c r="F36" i="13"/>
  <c r="L36" i="25"/>
  <c r="E41" i="14"/>
  <c r="J41" i="24" s="1"/>
  <c r="K41" i="25"/>
  <c r="I44" i="25"/>
  <c r="F44" i="16"/>
  <c r="H58" i="25"/>
  <c r="E58" i="17"/>
  <c r="G58" i="24" s="1"/>
  <c r="G50" i="25"/>
  <c r="F50" i="18"/>
  <c r="E7" i="8"/>
  <c r="P7" i="24" s="1"/>
  <c r="F7" i="8"/>
  <c r="E27" i="18"/>
  <c r="F27" i="24" s="1"/>
  <c r="G27" i="25"/>
  <c r="E31" i="16"/>
  <c r="H31" i="24" s="1"/>
  <c r="I31" i="25"/>
  <c r="T30" i="25"/>
  <c r="F30" i="5"/>
  <c r="F30" i="6"/>
  <c r="E30" i="10"/>
  <c r="N30" i="24" s="1"/>
  <c r="I10" i="25"/>
  <c r="E11" i="5"/>
  <c r="S11" i="24" s="1"/>
  <c r="F11" i="5"/>
  <c r="F12" i="5"/>
  <c r="E9" i="12"/>
  <c r="L9" i="24" s="1"/>
  <c r="R54" i="25"/>
  <c r="T43" i="25"/>
  <c r="F46" i="19"/>
  <c r="Q40" i="25"/>
  <c r="L40" i="25"/>
  <c r="F43" i="15"/>
  <c r="Q58" i="25"/>
  <c r="Q49" i="25"/>
  <c r="U41" i="25"/>
  <c r="E50" i="10"/>
  <c r="N50" i="24" s="1"/>
  <c r="R45" i="25"/>
  <c r="E49" i="19"/>
  <c r="E49" i="24" s="1"/>
  <c r="F64" i="25"/>
  <c r="E46" i="19"/>
  <c r="E46" i="24" s="1"/>
  <c r="E20" i="14"/>
  <c r="J20" i="24" s="1"/>
  <c r="N19" i="25"/>
  <c r="F15" i="11"/>
  <c r="R19" i="25"/>
  <c r="R15" i="25"/>
  <c r="H9" i="25"/>
  <c r="E20" i="15"/>
  <c r="I20" i="24" s="1"/>
  <c r="I17" i="25"/>
  <c r="F32" i="6"/>
  <c r="E8" i="16"/>
  <c r="H8" i="24" s="1"/>
  <c r="E33" i="16"/>
  <c r="H33" i="24" s="1"/>
  <c r="E13" i="16"/>
  <c r="H13" i="24" s="1"/>
  <c r="F25" i="16"/>
  <c r="E25" i="15"/>
  <c r="I25" i="24" s="1"/>
  <c r="H36" i="25"/>
  <c r="E45" i="8"/>
  <c r="P45" i="24" s="1"/>
  <c r="E56" i="15"/>
  <c r="I56" i="24" s="1"/>
  <c r="G41" i="25"/>
  <c r="H63" i="25"/>
  <c r="E13" i="14"/>
  <c r="J13" i="24" s="1"/>
  <c r="J47" i="25"/>
  <c r="E50" i="3"/>
  <c r="T50" i="24" s="1"/>
  <c r="F41" i="9"/>
  <c r="D24" i="25"/>
  <c r="E54" i="17"/>
  <c r="G54" i="24" s="1"/>
  <c r="H40" i="25"/>
  <c r="F41" i="14"/>
  <c r="N63" i="25"/>
  <c r="E63" i="11"/>
  <c r="M63" i="24" s="1"/>
  <c r="O40" i="25"/>
  <c r="F59" i="8"/>
  <c r="F54" i="8"/>
  <c r="Q35" i="25"/>
  <c r="E35" i="8"/>
  <c r="P35" i="24" s="1"/>
  <c r="F15" i="19"/>
  <c r="E15" i="7"/>
  <c r="Q15" i="24" s="1"/>
  <c r="E7" i="7"/>
  <c r="Q7" i="24" s="1"/>
  <c r="F7" i="7"/>
  <c r="E8" i="10"/>
  <c r="N8" i="24" s="1"/>
  <c r="F8" i="10"/>
  <c r="F54" i="19"/>
  <c r="E49" i="6"/>
  <c r="R49" i="24" s="1"/>
  <c r="S49" i="25"/>
  <c r="F49" i="6"/>
  <c r="R41" i="25"/>
  <c r="E41" i="7"/>
  <c r="Q41" i="24" s="1"/>
  <c r="E55" i="8"/>
  <c r="P55" i="24" s="1"/>
  <c r="Q55" i="25"/>
  <c r="E47" i="10"/>
  <c r="N47" i="24" s="1"/>
  <c r="O47" i="25"/>
  <c r="E63" i="13"/>
  <c r="K63" i="24" s="1"/>
  <c r="L63" i="25"/>
  <c r="F7" i="11"/>
  <c r="N7" i="25"/>
  <c r="O21" i="25"/>
  <c r="E21" i="10"/>
  <c r="N21" i="24" s="1"/>
  <c r="F41" i="19"/>
  <c r="E41" i="19"/>
  <c r="E41" i="24" s="1"/>
  <c r="E50" i="9"/>
  <c r="O50" i="24" s="1"/>
  <c r="P50" i="25"/>
  <c r="E7" i="9"/>
  <c r="O7" i="24" s="1"/>
  <c r="P7" i="25"/>
  <c r="F7" i="9"/>
  <c r="F23" i="11"/>
  <c r="F21" i="10"/>
  <c r="E26" i="10"/>
  <c r="N26" i="24" s="1"/>
  <c r="E40" i="17"/>
  <c r="G40" i="24" s="1"/>
  <c r="Q59" i="25"/>
  <c r="E62" i="12"/>
  <c r="L62" i="24" s="1"/>
  <c r="U16" i="25"/>
  <c r="E16" i="3"/>
  <c r="T16" i="24" s="1"/>
  <c r="F16" i="3"/>
  <c r="E57" i="16"/>
  <c r="H57" i="24" s="1"/>
  <c r="I57" i="25"/>
  <c r="R20" i="25"/>
  <c r="F20" i="7"/>
  <c r="N13" i="25"/>
  <c r="F13" i="11"/>
  <c r="E30" i="14"/>
  <c r="J30" i="24" s="1"/>
  <c r="E30" i="16"/>
  <c r="H30" i="24" s="1"/>
  <c r="F12" i="7"/>
  <c r="F9" i="12"/>
  <c r="E21" i="12"/>
  <c r="L21" i="24" s="1"/>
  <c r="E9" i="17"/>
  <c r="G9" i="24" s="1"/>
  <c r="F20" i="5"/>
  <c r="F15" i="5"/>
  <c r="N27" i="25"/>
  <c r="F27" i="11"/>
  <c r="J25" i="25"/>
  <c r="F15" i="25"/>
  <c r="O26" i="25"/>
  <c r="E17" i="14"/>
  <c r="J17" i="24" s="1"/>
  <c r="P31" i="25"/>
  <c r="F9" i="8"/>
  <c r="Q32" i="25"/>
  <c r="E26" i="8"/>
  <c r="P26" i="24" s="1"/>
  <c r="E9" i="3"/>
  <c r="T9" i="24" s="1"/>
  <c r="F20" i="15"/>
  <c r="E13" i="11"/>
  <c r="M13" i="24" s="1"/>
  <c r="G18" i="25"/>
  <c r="E36" i="13"/>
  <c r="K36" i="24" s="1"/>
  <c r="Q54" i="25"/>
  <c r="F41" i="25"/>
  <c r="E44" i="6"/>
  <c r="R44" i="24" s="1"/>
  <c r="U46" i="25"/>
  <c r="E57" i="6"/>
  <c r="R57" i="24" s="1"/>
  <c r="F18" i="10"/>
  <c r="J51" i="25"/>
  <c r="K61" i="25"/>
  <c r="E61" i="14"/>
  <c r="J61" i="24" s="1"/>
  <c r="O62" i="25"/>
  <c r="F62" i="10"/>
  <c r="E65" i="9"/>
  <c r="O65" i="24" s="1"/>
  <c r="F65" i="9"/>
  <c r="F62" i="9"/>
  <c r="E62" i="9"/>
  <c r="O62" i="24" s="1"/>
  <c r="F50" i="9"/>
  <c r="F51" i="5"/>
  <c r="F21" i="3"/>
  <c r="U21" i="25"/>
  <c r="F15" i="3"/>
  <c r="E15" i="3"/>
  <c r="T15" i="24" s="1"/>
  <c r="F36" i="14"/>
  <c r="E36" i="14"/>
  <c r="J36" i="24" s="1"/>
  <c r="F36" i="18"/>
  <c r="E36" i="18"/>
  <c r="F36" i="24" s="1"/>
  <c r="F21" i="8"/>
  <c r="E23" i="19"/>
  <c r="E23" i="24" s="1"/>
  <c r="F23" i="25"/>
  <c r="N31" i="25"/>
  <c r="E31" i="11"/>
  <c r="M31" i="24" s="1"/>
  <c r="E58" i="11"/>
  <c r="M58" i="24" s="1"/>
  <c r="N58" i="25"/>
  <c r="E49" i="11"/>
  <c r="M49" i="24" s="1"/>
  <c r="F49" i="11"/>
  <c r="N49" i="25"/>
  <c r="M59" i="25"/>
  <c r="F59" i="12"/>
  <c r="K54" i="25"/>
  <c r="F54" i="14"/>
  <c r="E51" i="16"/>
  <c r="H51" i="24" s="1"/>
  <c r="I51" i="25"/>
  <c r="F44" i="17"/>
  <c r="H44" i="25"/>
  <c r="F45" i="18"/>
  <c r="E45" i="18"/>
  <c r="F45" i="24" s="1"/>
  <c r="G45" i="25"/>
  <c r="G21" i="25"/>
  <c r="F21" i="18"/>
  <c r="S25" i="25"/>
  <c r="F25" i="6"/>
  <c r="E25" i="6"/>
  <c r="R25" i="24" s="1"/>
  <c r="F16" i="8"/>
  <c r="Q16" i="25"/>
  <c r="E16" i="8"/>
  <c r="P16" i="24" s="1"/>
  <c r="F23" i="15"/>
  <c r="J23" i="25"/>
  <c r="E16" i="16"/>
  <c r="H16" i="24" s="1"/>
  <c r="F16" i="16"/>
  <c r="F8" i="17"/>
  <c r="E8" i="17"/>
  <c r="G8" i="24" s="1"/>
  <c r="F52" i="22"/>
  <c r="J60" i="25"/>
  <c r="E10" i="3"/>
  <c r="T10" i="24" s="1"/>
  <c r="F8" i="23"/>
  <c r="F88" i="23"/>
  <c r="F7" i="23"/>
  <c r="D87" i="23"/>
  <c r="E87" i="23" s="1"/>
  <c r="E81" i="23"/>
  <c r="E23" i="23"/>
  <c r="F22" i="23"/>
  <c r="F18" i="23"/>
  <c r="F14" i="23"/>
  <c r="C19" i="23"/>
  <c r="F24" i="22"/>
  <c r="F53" i="3"/>
  <c r="F44" i="3"/>
  <c r="U27" i="25"/>
  <c r="E23" i="3"/>
  <c r="T23" i="24" s="1"/>
  <c r="E17" i="3"/>
  <c r="T17" i="24" s="1"/>
  <c r="F36" i="3"/>
  <c r="U48" i="25"/>
  <c r="U12" i="25"/>
  <c r="U15" i="25"/>
  <c r="E21" i="3"/>
  <c r="T21" i="24" s="1"/>
  <c r="F49" i="3"/>
  <c r="D54" i="20"/>
  <c r="E54" i="20" s="1"/>
  <c r="T56" i="25"/>
  <c r="E58" i="5"/>
  <c r="S58" i="24" s="1"/>
  <c r="F53" i="5"/>
  <c r="F44" i="5"/>
  <c r="E26" i="5"/>
  <c r="S26" i="24" s="1"/>
  <c r="E15" i="5"/>
  <c r="S15" i="24" s="1"/>
  <c r="T23" i="25"/>
  <c r="T65" i="25"/>
  <c r="D10" i="20"/>
  <c r="T48" i="25"/>
  <c r="E56" i="5"/>
  <c r="S56" i="24" s="1"/>
  <c r="T17" i="25"/>
  <c r="F7" i="5"/>
  <c r="T12" i="25"/>
  <c r="E62" i="5"/>
  <c r="S62" i="24" s="1"/>
  <c r="T62" i="25"/>
  <c r="F23" i="5"/>
  <c r="S32" i="25"/>
  <c r="F56" i="6"/>
  <c r="E58" i="6"/>
  <c r="R58" i="24" s="1"/>
  <c r="F51" i="6"/>
  <c r="E47" i="6"/>
  <c r="R47" i="24" s="1"/>
  <c r="S54" i="25"/>
  <c r="E40" i="6"/>
  <c r="R40" i="24" s="1"/>
  <c r="F40" i="6"/>
  <c r="F53" i="7"/>
  <c r="R32" i="25"/>
  <c r="F13" i="7"/>
  <c r="F18" i="7"/>
  <c r="E50" i="7"/>
  <c r="Q50" i="24" s="1"/>
  <c r="R16" i="25"/>
  <c r="R13" i="25"/>
  <c r="E46" i="7"/>
  <c r="Q46" i="24" s="1"/>
  <c r="R7" i="25"/>
  <c r="F31" i="20"/>
  <c r="Q9" i="25"/>
  <c r="Q15" i="25"/>
  <c r="F32" i="8"/>
  <c r="Q26" i="25"/>
  <c r="Q17" i="25"/>
  <c r="Q7" i="25"/>
  <c r="E8" i="8"/>
  <c r="P8" i="24" s="1"/>
  <c r="F19" i="8"/>
  <c r="F53" i="8"/>
  <c r="F36" i="8"/>
  <c r="Q50" i="25"/>
  <c r="E13" i="8"/>
  <c r="P13" i="24" s="1"/>
  <c r="F23" i="8"/>
  <c r="F64" i="9"/>
  <c r="P62" i="25"/>
  <c r="E64" i="9"/>
  <c r="O64" i="24" s="1"/>
  <c r="P43" i="25"/>
  <c r="P60" i="25"/>
  <c r="P61" i="25"/>
  <c r="O48" i="25"/>
  <c r="F13" i="10"/>
  <c r="E64" i="10"/>
  <c r="N64" i="24" s="1"/>
  <c r="O22" i="25"/>
  <c r="E57" i="10"/>
  <c r="N57" i="24" s="1"/>
  <c r="F10" i="10"/>
  <c r="O45" i="25"/>
  <c r="E43" i="10"/>
  <c r="N43" i="24" s="1"/>
  <c r="O10" i="25"/>
  <c r="O36" i="25"/>
  <c r="F48" i="10"/>
  <c r="E18" i="11"/>
  <c r="M18" i="24" s="1"/>
  <c r="E7" i="11"/>
  <c r="M7" i="24" s="1"/>
  <c r="N48" i="25"/>
  <c r="F14" i="11"/>
  <c r="F18" i="11"/>
  <c r="E33" i="11"/>
  <c r="M33" i="24" s="1"/>
  <c r="N65" i="25"/>
  <c r="N11" i="25"/>
  <c r="F50" i="12"/>
  <c r="M44" i="25"/>
  <c r="F7" i="12"/>
  <c r="E28" i="12"/>
  <c r="L28" i="24" s="1"/>
  <c r="E36" i="12"/>
  <c r="L36" i="24" s="1"/>
  <c r="E64" i="12"/>
  <c r="L64" i="24" s="1"/>
  <c r="E41" i="12"/>
  <c r="L41" i="24" s="1"/>
  <c r="E48" i="12"/>
  <c r="L48" i="24" s="1"/>
  <c r="M53" i="25"/>
  <c r="D11" i="20"/>
  <c r="L53" i="25"/>
  <c r="L50" i="25"/>
  <c r="L46" i="25"/>
  <c r="E58" i="13"/>
  <c r="K58" i="24" s="1"/>
  <c r="E44" i="13"/>
  <c r="K44" i="24" s="1"/>
  <c r="L32" i="25"/>
  <c r="L44" i="25"/>
  <c r="E55" i="14"/>
  <c r="J55" i="24" s="1"/>
  <c r="E65" i="14"/>
  <c r="J65" i="24" s="1"/>
  <c r="F62" i="14"/>
  <c r="F64" i="14"/>
  <c r="F12" i="14"/>
  <c r="D12" i="20"/>
  <c r="E9" i="14"/>
  <c r="J9" i="24" s="1"/>
  <c r="K57" i="25"/>
  <c r="F21" i="14"/>
  <c r="K7" i="25"/>
  <c r="E12" i="14"/>
  <c r="J12" i="24" s="1"/>
  <c r="J41" i="25"/>
  <c r="E50" i="15"/>
  <c r="I50" i="24" s="1"/>
  <c r="E21" i="15"/>
  <c r="I21" i="24" s="1"/>
  <c r="J26" i="25"/>
  <c r="E48" i="15"/>
  <c r="I48" i="24" s="1"/>
  <c r="E23" i="15"/>
  <c r="I23" i="24" s="1"/>
  <c r="D53" i="20"/>
  <c r="D74" i="23" s="1"/>
  <c r="D59" i="20"/>
  <c r="D80" i="23" s="1"/>
  <c r="F80" i="23" s="1"/>
  <c r="E58" i="15"/>
  <c r="I58" i="24" s="1"/>
  <c r="F50" i="15"/>
  <c r="E33" i="15"/>
  <c r="I33" i="24" s="1"/>
  <c r="J28" i="25"/>
  <c r="J32" i="25"/>
  <c r="E44" i="15"/>
  <c r="I44" i="24" s="1"/>
  <c r="I60" i="25"/>
  <c r="F54" i="16"/>
  <c r="E43" i="16"/>
  <c r="H43" i="24" s="1"/>
  <c r="F56" i="16"/>
  <c r="I7" i="25"/>
  <c r="I36" i="25"/>
  <c r="I12" i="25"/>
  <c r="F58" i="16"/>
  <c r="E14" i="16"/>
  <c r="H14" i="24" s="1"/>
  <c r="E45" i="16"/>
  <c r="H45" i="24" s="1"/>
  <c r="D47" i="20"/>
  <c r="E47" i="20" s="1"/>
  <c r="F8" i="16"/>
  <c r="I21" i="25"/>
  <c r="D51" i="20"/>
  <c r="E51" i="20" s="1"/>
  <c r="F25" i="17"/>
  <c r="F14" i="17"/>
  <c r="F7" i="17"/>
  <c r="E33" i="17"/>
  <c r="G33" i="24" s="1"/>
  <c r="F54" i="17"/>
  <c r="E35" i="17"/>
  <c r="G35" i="24" s="1"/>
  <c r="D36" i="20"/>
  <c r="F36" i="20" s="1"/>
  <c r="E56" i="17"/>
  <c r="G56" i="24" s="1"/>
  <c r="H61" i="25"/>
  <c r="D46" i="20"/>
  <c r="D67" i="23" s="1"/>
  <c r="F67" i="23" s="1"/>
  <c r="D57" i="20"/>
  <c r="D78" i="23" s="1"/>
  <c r="F78" i="23" s="1"/>
  <c r="G22" i="25"/>
  <c r="F18" i="18"/>
  <c r="E41" i="18"/>
  <c r="F41" i="24" s="1"/>
  <c r="E61" i="18"/>
  <c r="F61" i="24" s="1"/>
  <c r="E20" i="18"/>
  <c r="F20" i="24" s="1"/>
  <c r="E31" i="18"/>
  <c r="F31" i="24" s="1"/>
  <c r="F65" i="18"/>
  <c r="F59" i="18"/>
  <c r="D55" i="20"/>
  <c r="D76" i="23" s="1"/>
  <c r="E76" i="23" s="1"/>
  <c r="D62" i="20"/>
  <c r="F22" i="18"/>
  <c r="G60" i="25"/>
  <c r="E65" i="18"/>
  <c r="F65" i="24" s="1"/>
  <c r="F62" i="18"/>
  <c r="F40" i="18"/>
  <c r="F64" i="16"/>
  <c r="E64" i="16"/>
  <c r="H64" i="24" s="1"/>
  <c r="I64" i="25"/>
  <c r="L61" i="25"/>
  <c r="E61" i="13"/>
  <c r="K61" i="24" s="1"/>
  <c r="L35" i="25"/>
  <c r="E35" i="13"/>
  <c r="K35" i="24" s="1"/>
  <c r="O63" i="25"/>
  <c r="E63" i="10"/>
  <c r="N63" i="24" s="1"/>
  <c r="E60" i="10"/>
  <c r="N60" i="24" s="1"/>
  <c r="E35" i="10"/>
  <c r="N35" i="24" s="1"/>
  <c r="O35" i="25"/>
  <c r="E64" i="5"/>
  <c r="S64" i="24" s="1"/>
  <c r="F64" i="5"/>
  <c r="E7" i="3"/>
  <c r="T7" i="24" s="1"/>
  <c r="U7" i="25"/>
  <c r="E26" i="3"/>
  <c r="T26" i="24" s="1"/>
  <c r="F26" i="3"/>
  <c r="M25" i="25"/>
  <c r="E25" i="12"/>
  <c r="L25" i="24" s="1"/>
  <c r="F36" i="5"/>
  <c r="E36" i="5"/>
  <c r="S36" i="24" s="1"/>
  <c r="E20" i="11"/>
  <c r="M20" i="24" s="1"/>
  <c r="F20" i="11"/>
  <c r="F16" i="11"/>
  <c r="E16" i="11"/>
  <c r="M16" i="24" s="1"/>
  <c r="N16" i="25"/>
  <c r="E32" i="14"/>
  <c r="J32" i="24" s="1"/>
  <c r="F32" i="14"/>
  <c r="K18" i="25"/>
  <c r="E18" i="14"/>
  <c r="J18" i="24" s="1"/>
  <c r="F18" i="14"/>
  <c r="I40" i="25"/>
  <c r="F40" i="16"/>
  <c r="F56" i="3"/>
  <c r="E56" i="3"/>
  <c r="T56" i="24" s="1"/>
  <c r="R49" i="25"/>
  <c r="F49" i="7"/>
  <c r="F46" i="8"/>
  <c r="Q46" i="25"/>
  <c r="E51" i="9"/>
  <c r="O51" i="24" s="1"/>
  <c r="F51" i="9"/>
  <c r="P51" i="25"/>
  <c r="E56" i="10"/>
  <c r="N56" i="24" s="1"/>
  <c r="O56" i="25"/>
  <c r="F50" i="11"/>
  <c r="E50" i="11"/>
  <c r="M50" i="24" s="1"/>
  <c r="F46" i="16"/>
  <c r="I46" i="25"/>
  <c r="H51" i="25"/>
  <c r="F51" i="17"/>
  <c r="E51" i="17"/>
  <c r="G51" i="24" s="1"/>
  <c r="R9" i="25"/>
  <c r="F9" i="7"/>
  <c r="E30" i="11"/>
  <c r="M30" i="24" s="1"/>
  <c r="F30" i="11"/>
  <c r="R30" i="25"/>
  <c r="F30" i="7"/>
  <c r="E29" i="10"/>
  <c r="N29" i="24" s="1"/>
  <c r="F29" i="10"/>
  <c r="O29" i="25"/>
  <c r="F9" i="16"/>
  <c r="F11" i="14"/>
  <c r="E30" i="7"/>
  <c r="Q30" i="24" s="1"/>
  <c r="F29" i="5"/>
  <c r="F58" i="3"/>
  <c r="E10" i="12"/>
  <c r="L10" i="24" s="1"/>
  <c r="U56" i="25"/>
  <c r="F40" i="9"/>
  <c r="D40" i="20"/>
  <c r="F40" i="20" s="1"/>
  <c r="O59" i="25"/>
  <c r="F40" i="12"/>
  <c r="G59" i="25"/>
  <c r="F53" i="11"/>
  <c r="E55" i="18"/>
  <c r="F55" i="24" s="1"/>
  <c r="D44" i="20"/>
  <c r="D65" i="23" s="1"/>
  <c r="E65" i="23" s="1"/>
  <c r="E59" i="5"/>
  <c r="S59" i="24" s="1"/>
  <c r="F45" i="3"/>
  <c r="F43" i="9"/>
  <c r="E50" i="6"/>
  <c r="R50" i="24" s="1"/>
  <c r="F41" i="8"/>
  <c r="F59" i="14"/>
  <c r="E59" i="14"/>
  <c r="J59" i="24" s="1"/>
  <c r="D41" i="20"/>
  <c r="F41" i="20" s="1"/>
  <c r="P56" i="25"/>
  <c r="N14" i="25"/>
  <c r="F7" i="14"/>
  <c r="F32" i="17"/>
  <c r="E26" i="14"/>
  <c r="J26" i="24" s="1"/>
  <c r="T18" i="25"/>
  <c r="E28" i="17"/>
  <c r="G28" i="24" s="1"/>
  <c r="E21" i="17"/>
  <c r="G21" i="24" s="1"/>
  <c r="F29" i="12"/>
  <c r="F7" i="3"/>
  <c r="U28" i="25"/>
  <c r="E10" i="16"/>
  <c r="H10" i="24" s="1"/>
  <c r="E47" i="17"/>
  <c r="G47" i="24" s="1"/>
  <c r="T64" i="25"/>
  <c r="R22" i="25"/>
  <c r="F22" i="7"/>
  <c r="F14" i="7"/>
  <c r="E14" i="7"/>
  <c r="Q14" i="24" s="1"/>
  <c r="M63" i="25"/>
  <c r="E63" i="12"/>
  <c r="L63" i="24" s="1"/>
  <c r="E62" i="11"/>
  <c r="M62" i="24" s="1"/>
  <c r="F62" i="11"/>
  <c r="N62" i="25"/>
  <c r="P8" i="25"/>
  <c r="E8" i="9"/>
  <c r="O8" i="24" s="1"/>
  <c r="M27" i="25"/>
  <c r="F27" i="12"/>
  <c r="M20" i="25"/>
  <c r="F20" i="12"/>
  <c r="F26" i="17"/>
  <c r="H26" i="25"/>
  <c r="F25" i="3"/>
  <c r="U25" i="25"/>
  <c r="F16" i="14"/>
  <c r="E16" i="14"/>
  <c r="J16" i="24" s="1"/>
  <c r="E25" i="5"/>
  <c r="S25" i="24" s="1"/>
  <c r="T25" i="25"/>
  <c r="L8" i="25"/>
  <c r="F8" i="13"/>
  <c r="F40" i="14"/>
  <c r="E40" i="14"/>
  <c r="J40" i="24" s="1"/>
  <c r="E59" i="6"/>
  <c r="R59" i="24" s="1"/>
  <c r="F59" i="6"/>
  <c r="F48" i="8"/>
  <c r="Q48" i="25"/>
  <c r="P49" i="25"/>
  <c r="E49" i="9"/>
  <c r="O49" i="24" s="1"/>
  <c r="F45" i="9"/>
  <c r="E45" i="9"/>
  <c r="O45" i="24" s="1"/>
  <c r="F43" i="13"/>
  <c r="L43" i="25"/>
  <c r="F48" i="14"/>
  <c r="E48" i="14"/>
  <c r="J48" i="24" s="1"/>
  <c r="E45" i="14"/>
  <c r="J45" i="24" s="1"/>
  <c r="F45" i="14"/>
  <c r="E48" i="16"/>
  <c r="H48" i="24" s="1"/>
  <c r="F48" i="16"/>
  <c r="I48" i="25"/>
  <c r="F49" i="17"/>
  <c r="H49" i="25"/>
  <c r="E49" i="17"/>
  <c r="G49" i="24" s="1"/>
  <c r="F45" i="17"/>
  <c r="E45" i="17"/>
  <c r="G45" i="24" s="1"/>
  <c r="F46" i="18"/>
  <c r="E46" i="18"/>
  <c r="F46" i="24" s="1"/>
  <c r="E23" i="16"/>
  <c r="H23" i="24" s="1"/>
  <c r="I23" i="25"/>
  <c r="F18" i="16"/>
  <c r="E18" i="16"/>
  <c r="H18" i="24" s="1"/>
  <c r="H16" i="25"/>
  <c r="E16" i="17"/>
  <c r="G16" i="24" s="1"/>
  <c r="P9" i="25"/>
  <c r="F9" i="9"/>
  <c r="E9" i="9"/>
  <c r="O9" i="24" s="1"/>
  <c r="D30" i="20"/>
  <c r="E30" i="20" s="1"/>
  <c r="F30" i="18"/>
  <c r="G30" i="25"/>
  <c r="D9" i="20"/>
  <c r="E9" i="20" s="1"/>
  <c r="N9" i="25"/>
  <c r="F11" i="7"/>
  <c r="E11" i="14"/>
  <c r="J11" i="24" s="1"/>
  <c r="F58" i="10"/>
  <c r="F10" i="3"/>
  <c r="F12" i="3"/>
  <c r="E11" i="7"/>
  <c r="Q11" i="24" s="1"/>
  <c r="D26" i="20"/>
  <c r="D46" i="23" s="1"/>
  <c r="E46" i="23" s="1"/>
  <c r="M10" i="25"/>
  <c r="E9" i="16"/>
  <c r="H9" i="24" s="1"/>
  <c r="E58" i="3"/>
  <c r="T58" i="24" s="1"/>
  <c r="F53" i="14"/>
  <c r="H45" i="25"/>
  <c r="F59" i="15"/>
  <c r="H43" i="25"/>
  <c r="F50" i="14"/>
  <c r="O54" i="25"/>
  <c r="F56" i="17"/>
  <c r="D49" i="20"/>
  <c r="F49" i="20" s="1"/>
  <c r="E41" i="8"/>
  <c r="P41" i="24" s="1"/>
  <c r="E50" i="18"/>
  <c r="F50" i="24" s="1"/>
  <c r="D28" i="20"/>
  <c r="E28" i="20" s="1"/>
  <c r="T20" i="25"/>
  <c r="E7" i="13"/>
  <c r="K7" i="24" s="1"/>
  <c r="D23" i="20"/>
  <c r="E23" i="20" s="1"/>
  <c r="T36" i="25"/>
  <c r="K16" i="25"/>
  <c r="F16" i="5"/>
  <c r="E33" i="13"/>
  <c r="K33" i="24" s="1"/>
  <c r="H23" i="25"/>
  <c r="E27" i="12"/>
  <c r="L27" i="24" s="1"/>
  <c r="F23" i="16"/>
  <c r="E35" i="14"/>
  <c r="J35" i="24" s="1"/>
  <c r="E28" i="13"/>
  <c r="K28" i="24" s="1"/>
  <c r="E49" i="7"/>
  <c r="Q49" i="24" s="1"/>
  <c r="G53" i="25"/>
  <c r="E48" i="18"/>
  <c r="F48" i="24" s="1"/>
  <c r="E58" i="10"/>
  <c r="N58" i="24" s="1"/>
  <c r="N50" i="25"/>
  <c r="K40" i="25"/>
  <c r="K53" i="25"/>
  <c r="F56" i="15"/>
  <c r="E65" i="13"/>
  <c r="K65" i="24" s="1"/>
  <c r="E61" i="15"/>
  <c r="I61" i="24" s="1"/>
  <c r="J61" i="25"/>
  <c r="R65" i="25"/>
  <c r="F65" i="7"/>
  <c r="E65" i="7"/>
  <c r="Q65" i="24" s="1"/>
  <c r="R28" i="25"/>
  <c r="E28" i="7"/>
  <c r="Q28" i="24" s="1"/>
  <c r="E27" i="10"/>
  <c r="N27" i="24" s="1"/>
  <c r="F27" i="10"/>
  <c r="F15" i="10"/>
  <c r="O15" i="25"/>
  <c r="D15" i="20"/>
  <c r="H62" i="25"/>
  <c r="F62" i="17"/>
  <c r="I62" i="25"/>
  <c r="F62" i="16"/>
  <c r="E62" i="16"/>
  <c r="H62" i="24" s="1"/>
  <c r="J64" i="25"/>
  <c r="E64" i="15"/>
  <c r="I64" i="24" s="1"/>
  <c r="E35" i="5"/>
  <c r="S35" i="24" s="1"/>
  <c r="T35" i="25"/>
  <c r="E65" i="3"/>
  <c r="T65" i="24" s="1"/>
  <c r="F65" i="3"/>
  <c r="E28" i="16"/>
  <c r="H28" i="24" s="1"/>
  <c r="I28" i="25"/>
  <c r="F12" i="16"/>
  <c r="E12" i="16"/>
  <c r="H12" i="24" s="1"/>
  <c r="L64" i="25"/>
  <c r="F64" i="13"/>
  <c r="E64" i="13"/>
  <c r="K64" i="24" s="1"/>
  <c r="Q62" i="25"/>
  <c r="E62" i="8"/>
  <c r="P62" i="24" s="1"/>
  <c r="G33" i="25"/>
  <c r="E33" i="18"/>
  <c r="F33" i="24" s="1"/>
  <c r="F45" i="11"/>
  <c r="N45" i="25"/>
  <c r="F49" i="16"/>
  <c r="I49" i="25"/>
  <c r="T22" i="25"/>
  <c r="F22" i="5"/>
  <c r="F65" i="19"/>
  <c r="C55" i="23"/>
  <c r="F55" i="23" s="1"/>
  <c r="D56" i="20"/>
  <c r="F56" i="20" s="1"/>
  <c r="E56" i="19"/>
  <c r="E56" i="24" s="1"/>
  <c r="F55" i="20"/>
  <c r="E58" i="19"/>
  <c r="E58" i="24" s="1"/>
  <c r="F57" i="20"/>
  <c r="D43" i="20"/>
  <c r="F43" i="20" s="1"/>
  <c r="F43" i="19"/>
  <c r="F29" i="19"/>
  <c r="D14" i="20"/>
  <c r="D50" i="20"/>
  <c r="D71" i="23" s="1"/>
  <c r="F40" i="19"/>
  <c r="F7" i="19"/>
  <c r="F14" i="19"/>
  <c r="E43" i="19"/>
  <c r="E43" i="24" s="1"/>
  <c r="F61" i="25"/>
  <c r="D45" i="20"/>
  <c r="F45" i="20" s="1"/>
  <c r="F58" i="19"/>
  <c r="D33" i="20"/>
  <c r="D53" i="23" s="1"/>
  <c r="F7" i="25"/>
  <c r="F19" i="25"/>
  <c r="F27" i="19"/>
  <c r="F63" i="25"/>
  <c r="F63" i="20"/>
  <c r="E65" i="19"/>
  <c r="E65" i="24" s="1"/>
  <c r="D58" i="20"/>
  <c r="D79" i="23" s="1"/>
  <c r="F79" i="23" s="1"/>
  <c r="F50" i="19"/>
  <c r="E50" i="19"/>
  <c r="E50" i="24" s="1"/>
  <c r="E48" i="19"/>
  <c r="E48" i="24" s="1"/>
  <c r="F45" i="19"/>
  <c r="F40" i="25"/>
  <c r="E35" i="19"/>
  <c r="E35" i="24" s="1"/>
  <c r="F32" i="19"/>
  <c r="C53" i="23"/>
  <c r="C24" i="20"/>
  <c r="C6" i="20" s="1"/>
  <c r="F26" i="25"/>
  <c r="D32" i="20"/>
  <c r="D52" i="23" s="1"/>
  <c r="D21" i="20"/>
  <c r="F21" i="20" s="1"/>
  <c r="F19" i="19"/>
  <c r="E14" i="19"/>
  <c r="E14" i="24" s="1"/>
  <c r="F21" i="19"/>
  <c r="D8" i="20"/>
  <c r="E8" i="20" s="1"/>
  <c r="C74" i="23"/>
  <c r="C52" i="20"/>
  <c r="F28" i="20"/>
  <c r="C48" i="23"/>
  <c r="F64" i="17"/>
  <c r="H64" i="25"/>
  <c r="E64" i="17"/>
  <c r="G64" i="24" s="1"/>
  <c r="I63" i="25"/>
  <c r="E63" i="16"/>
  <c r="H63" i="24" s="1"/>
  <c r="M65" i="25"/>
  <c r="F65" i="12"/>
  <c r="R61" i="25"/>
  <c r="E61" i="7"/>
  <c r="Q61" i="24" s="1"/>
  <c r="T61" i="25"/>
  <c r="E61" i="5"/>
  <c r="S61" i="24" s="1"/>
  <c r="O31" i="25"/>
  <c r="E31" i="10"/>
  <c r="N31" i="24" s="1"/>
  <c r="F17" i="10"/>
  <c r="O17" i="25"/>
  <c r="D19" i="20"/>
  <c r="F19" i="20" s="1"/>
  <c r="E19" i="17"/>
  <c r="G19" i="24" s="1"/>
  <c r="U29" i="25"/>
  <c r="F29" i="3"/>
  <c r="E29" i="3"/>
  <c r="T29" i="24" s="1"/>
  <c r="D51" i="25"/>
  <c r="E51" i="22"/>
  <c r="C51" i="24" s="1"/>
  <c r="D25" i="20"/>
  <c r="D45" i="23" s="1"/>
  <c r="F45" i="23" s="1"/>
  <c r="C69" i="23"/>
  <c r="E26" i="13"/>
  <c r="K26" i="24" s="1"/>
  <c r="E31" i="12"/>
  <c r="L31" i="24" s="1"/>
  <c r="E63" i="6"/>
  <c r="R63" i="24" s="1"/>
  <c r="S63" i="25"/>
  <c r="F13" i="12"/>
  <c r="M13" i="25"/>
  <c r="E22" i="19"/>
  <c r="E22" i="24" s="1"/>
  <c r="F22" i="25"/>
  <c r="F22" i="19"/>
  <c r="I11" i="25"/>
  <c r="E11" i="16"/>
  <c r="H11" i="24" s="1"/>
  <c r="F9" i="5"/>
  <c r="T9" i="25"/>
  <c r="E30" i="9"/>
  <c r="O30" i="24" s="1"/>
  <c r="P30" i="25"/>
  <c r="E30" i="3"/>
  <c r="T30" i="24" s="1"/>
  <c r="U30" i="25"/>
  <c r="F30" i="3"/>
  <c r="H29" i="25"/>
  <c r="F29" i="17"/>
  <c r="E29" i="17"/>
  <c r="G29" i="24" s="1"/>
  <c r="Q29" i="25"/>
  <c r="E29" i="8"/>
  <c r="P29" i="24" s="1"/>
  <c r="E29" i="6"/>
  <c r="R29" i="24" s="1"/>
  <c r="S29" i="25"/>
  <c r="F54" i="22"/>
  <c r="D54" i="25"/>
  <c r="F50" i="22"/>
  <c r="E50" i="22"/>
  <c r="C50" i="24" s="1"/>
  <c r="D50" i="25"/>
  <c r="E10" i="7"/>
  <c r="Q10" i="24" s="1"/>
  <c r="R10" i="25"/>
  <c r="F11" i="16"/>
  <c r="E11" i="3"/>
  <c r="T11" i="24" s="1"/>
  <c r="F32" i="5"/>
  <c r="E27" i="7"/>
  <c r="Q27" i="24" s="1"/>
  <c r="F11" i="12"/>
  <c r="F26" i="13"/>
  <c r="D61" i="20"/>
  <c r="F64" i="11"/>
  <c r="N64" i="25"/>
  <c r="E64" i="11"/>
  <c r="M64" i="24" s="1"/>
  <c r="Q63" i="25"/>
  <c r="E63" i="8"/>
  <c r="P63" i="24" s="1"/>
  <c r="F64" i="7"/>
  <c r="E64" i="7"/>
  <c r="Q64" i="24" s="1"/>
  <c r="E62" i="7"/>
  <c r="Q62" i="24" s="1"/>
  <c r="F62" i="7"/>
  <c r="S62" i="25"/>
  <c r="E62" i="6"/>
  <c r="R62" i="24" s="1"/>
  <c r="F62" i="6"/>
  <c r="D56" i="25"/>
  <c r="E56" i="22"/>
  <c r="C56" i="24" s="1"/>
  <c r="F56" i="22"/>
  <c r="E47" i="22"/>
  <c r="C47" i="24" s="1"/>
  <c r="E29" i="12"/>
  <c r="L29" i="24" s="1"/>
  <c r="F53" i="25"/>
  <c r="F53" i="19"/>
  <c r="E53" i="19"/>
  <c r="E53" i="24" s="1"/>
  <c r="D48" i="20"/>
  <c r="D69" i="23" s="1"/>
  <c r="F48" i="25"/>
  <c r="F59" i="3"/>
  <c r="E59" i="3"/>
  <c r="T59" i="24" s="1"/>
  <c r="U59" i="25"/>
  <c r="E54" i="3"/>
  <c r="T54" i="24" s="1"/>
  <c r="F54" i="3"/>
  <c r="U47" i="25"/>
  <c r="E47" i="3"/>
  <c r="T47" i="24" s="1"/>
  <c r="F43" i="3"/>
  <c r="E54" i="5"/>
  <c r="S54" i="24" s="1"/>
  <c r="F54" i="5"/>
  <c r="T49" i="25"/>
  <c r="F49" i="5"/>
  <c r="T46" i="25"/>
  <c r="E46" i="5"/>
  <c r="S46" i="24" s="1"/>
  <c r="F41" i="5"/>
  <c r="T41" i="25"/>
  <c r="S53" i="25"/>
  <c r="E53" i="6"/>
  <c r="R53" i="24" s="1"/>
  <c r="F53" i="6"/>
  <c r="E48" i="6"/>
  <c r="R48" i="24" s="1"/>
  <c r="F48" i="6"/>
  <c r="S48" i="25"/>
  <c r="S45" i="25"/>
  <c r="E45" i="6"/>
  <c r="R45" i="24" s="1"/>
  <c r="R59" i="25"/>
  <c r="E59" i="7"/>
  <c r="Q59" i="24" s="1"/>
  <c r="R55" i="25"/>
  <c r="E55" i="7"/>
  <c r="Q55" i="24" s="1"/>
  <c r="R47" i="25"/>
  <c r="E47" i="7"/>
  <c r="Q47" i="24" s="1"/>
  <c r="F44" i="7"/>
  <c r="R44" i="25"/>
  <c r="E44" i="7"/>
  <c r="Q44" i="24" s="1"/>
  <c r="F58" i="9"/>
  <c r="P58" i="25"/>
  <c r="F54" i="9"/>
  <c r="P54" i="25"/>
  <c r="E46" i="10"/>
  <c r="N46" i="24" s="1"/>
  <c r="O46" i="25"/>
  <c r="O41" i="25"/>
  <c r="E41" i="10"/>
  <c r="N41" i="24" s="1"/>
  <c r="N46" i="25"/>
  <c r="E46" i="11"/>
  <c r="M46" i="24" s="1"/>
  <c r="M51" i="25"/>
  <c r="E51" i="12"/>
  <c r="L51" i="24" s="1"/>
  <c r="F51" i="12"/>
  <c r="L57" i="25"/>
  <c r="E57" i="13"/>
  <c r="K57" i="24" s="1"/>
  <c r="F53" i="16"/>
  <c r="I53" i="25"/>
  <c r="E17" i="19"/>
  <c r="E17" i="24" s="1"/>
  <c r="F17" i="25"/>
  <c r="F17" i="19"/>
  <c r="H19" i="25"/>
  <c r="D32" i="25"/>
  <c r="E32" i="22"/>
  <c r="C32" i="24" s="1"/>
  <c r="F28" i="22"/>
  <c r="D28" i="25"/>
  <c r="E28" i="22"/>
  <c r="C28" i="24" s="1"/>
  <c r="F65" i="16"/>
  <c r="I65" i="25"/>
  <c r="E65" i="16"/>
  <c r="H65" i="24" s="1"/>
  <c r="E61" i="16"/>
  <c r="H61" i="24" s="1"/>
  <c r="I61" i="25"/>
  <c r="O25" i="25"/>
  <c r="E25" i="10"/>
  <c r="N25" i="24" s="1"/>
  <c r="E8" i="12"/>
  <c r="L8" i="24" s="1"/>
  <c r="M8" i="25"/>
  <c r="F8" i="12"/>
  <c r="E18" i="19"/>
  <c r="E18" i="24" s="1"/>
  <c r="F18" i="25"/>
  <c r="E29" i="9"/>
  <c r="O29" i="24" s="1"/>
  <c r="P29" i="25"/>
  <c r="F32" i="10"/>
  <c r="O32" i="25"/>
  <c r="E32" i="10"/>
  <c r="N32" i="24" s="1"/>
  <c r="C42" i="20"/>
  <c r="E17" i="10"/>
  <c r="N17" i="24" s="1"/>
  <c r="D65" i="20"/>
  <c r="D64" i="25"/>
  <c r="E64" i="22"/>
  <c r="C64" i="24" s="1"/>
  <c r="E35" i="16"/>
  <c r="H35" i="24" s="1"/>
  <c r="I35" i="25"/>
  <c r="D35" i="20"/>
  <c r="E35" i="20" s="1"/>
  <c r="L55" i="25"/>
  <c r="E55" i="13"/>
  <c r="K55" i="24" s="1"/>
  <c r="E9" i="5"/>
  <c r="S9" i="24" s="1"/>
  <c r="D13" i="20"/>
  <c r="E13" i="20" s="1"/>
  <c r="D27" i="20"/>
  <c r="D17" i="20"/>
  <c r="F17" i="20" s="1"/>
  <c r="M21" i="25"/>
  <c r="D22" i="20"/>
  <c r="F19" i="17"/>
  <c r="E54" i="22"/>
  <c r="C54" i="24" s="1"/>
  <c r="D7" i="20"/>
  <c r="E7" i="20" s="1"/>
  <c r="D18" i="20"/>
  <c r="D38" i="23" s="1"/>
  <c r="E38" i="23" s="1"/>
  <c r="H7" i="25"/>
  <c r="E64" i="14"/>
  <c r="J64" i="24" s="1"/>
  <c r="D63" i="20"/>
  <c r="D85" i="23" s="1"/>
  <c r="K63" i="25"/>
  <c r="E63" i="14"/>
  <c r="J63" i="24" s="1"/>
  <c r="M62" i="25"/>
  <c r="R35" i="25"/>
  <c r="E35" i="7"/>
  <c r="Q35" i="24" s="1"/>
  <c r="U8" i="25"/>
  <c r="F8" i="3"/>
  <c r="E8" i="3"/>
  <c r="T8" i="24" s="1"/>
  <c r="E30" i="13"/>
  <c r="K30" i="24" s="1"/>
  <c r="F7" i="10"/>
  <c r="O7" i="25"/>
  <c r="E20" i="19"/>
  <c r="E20" i="24" s="1"/>
  <c r="D20" i="20"/>
  <c r="E20" i="20" s="1"/>
  <c r="E27" i="17"/>
  <c r="G27" i="24" s="1"/>
  <c r="H27" i="25"/>
  <c r="F27" i="17"/>
  <c r="H22" i="25"/>
  <c r="E22" i="17"/>
  <c r="G22" i="24" s="1"/>
  <c r="F17" i="17"/>
  <c r="E17" i="17"/>
  <c r="G17" i="24" s="1"/>
  <c r="F26" i="11"/>
  <c r="E26" i="11"/>
  <c r="M26" i="24" s="1"/>
  <c r="E31" i="14"/>
  <c r="J31" i="24" s="1"/>
  <c r="D31" i="20"/>
  <c r="D33" i="25"/>
  <c r="E33" i="22"/>
  <c r="C60" i="20"/>
  <c r="F47" i="20"/>
  <c r="C68" i="23"/>
  <c r="F68" i="23" s="1"/>
  <c r="J65" i="25"/>
  <c r="E65" i="15"/>
  <c r="I65" i="24" s="1"/>
  <c r="F65" i="15"/>
  <c r="E61" i="11"/>
  <c r="M61" i="24" s="1"/>
  <c r="N61" i="25"/>
  <c r="E61" i="8"/>
  <c r="P61" i="24" s="1"/>
  <c r="F61" i="8"/>
  <c r="Q61" i="25"/>
  <c r="F60" i="8"/>
  <c r="S35" i="25"/>
  <c r="E35" i="6"/>
  <c r="R35" i="24" s="1"/>
  <c r="E36" i="7"/>
  <c r="Q36" i="24" s="1"/>
  <c r="R36" i="25"/>
  <c r="E46" i="22"/>
  <c r="C46" i="24" s="1"/>
  <c r="D46" i="25"/>
  <c r="E43" i="22"/>
  <c r="C43" i="24" s="1"/>
  <c r="F43" i="22"/>
  <c r="F23" i="12"/>
  <c r="M23" i="25"/>
  <c r="O23" i="25"/>
  <c r="E23" i="10"/>
  <c r="N23" i="24" s="1"/>
  <c r="E16" i="10"/>
  <c r="N16" i="24" s="1"/>
  <c r="F16" i="10"/>
  <c r="J40" i="25"/>
  <c r="F40" i="15"/>
  <c r="F59" i="19"/>
  <c r="F59" i="25"/>
  <c r="F51" i="19"/>
  <c r="E51" i="19"/>
  <c r="E51" i="24" s="1"/>
  <c r="F53" i="10"/>
  <c r="O53" i="25"/>
  <c r="N59" i="25"/>
  <c r="F59" i="11"/>
  <c r="E59" i="11"/>
  <c r="M59" i="24" s="1"/>
  <c r="E57" i="11"/>
  <c r="M57" i="24" s="1"/>
  <c r="N57" i="25"/>
  <c r="E43" i="14"/>
  <c r="J43" i="24" s="1"/>
  <c r="D16" i="20"/>
  <c r="D19" i="25"/>
  <c r="E19" i="22"/>
  <c r="C19" i="24" s="1"/>
  <c r="G35" i="25"/>
  <c r="E35" i="18"/>
  <c r="F35" i="24" s="1"/>
  <c r="L62" i="25"/>
  <c r="F62" i="13"/>
  <c r="E35" i="9"/>
  <c r="O35" i="24" s="1"/>
  <c r="P35" i="25"/>
  <c r="Q65" i="25"/>
  <c r="F65" i="8"/>
  <c r="S65" i="25"/>
  <c r="F65" i="6"/>
  <c r="S61" i="25"/>
  <c r="E61" i="6"/>
  <c r="R61" i="24" s="1"/>
  <c r="U63" i="25"/>
  <c r="E63" i="3"/>
  <c r="T63" i="24" s="1"/>
  <c r="E20" i="3"/>
  <c r="T20" i="24" s="1"/>
  <c r="F20" i="3"/>
  <c r="U14" i="25"/>
  <c r="E14" i="3"/>
  <c r="T14" i="24" s="1"/>
  <c r="H18" i="25"/>
  <c r="F18" i="17"/>
  <c r="D59" i="25"/>
  <c r="F59" i="22"/>
  <c r="D60" i="19"/>
  <c r="F60" i="19" s="1"/>
  <c r="E31" i="19"/>
  <c r="E31" i="24" s="1"/>
  <c r="F31" i="25"/>
  <c r="E64" i="6"/>
  <c r="R64" i="24" s="1"/>
  <c r="F64" i="6"/>
  <c r="K23" i="25"/>
  <c r="F23" i="14"/>
  <c r="D64" i="20"/>
  <c r="D86" i="23" s="1"/>
  <c r="K13" i="25"/>
  <c r="E52" i="15"/>
  <c r="I52" i="24" s="1"/>
  <c r="D42" i="19"/>
  <c r="E42" i="7"/>
  <c r="Q42" i="24" s="1"/>
  <c r="E52" i="9"/>
  <c r="O52" i="24" s="1"/>
  <c r="U26" i="25"/>
  <c r="D52" i="19"/>
  <c r="E13" i="23"/>
  <c r="D12" i="23"/>
  <c r="F12" i="23" s="1"/>
  <c r="D9" i="23"/>
  <c r="C92" i="23"/>
  <c r="D15" i="23"/>
  <c r="E17" i="23"/>
  <c r="E25" i="23"/>
  <c r="F16" i="23"/>
  <c r="E25" i="22"/>
  <c r="C25" i="24" s="1"/>
  <c r="E20" i="22"/>
  <c r="C20" i="24" s="1"/>
  <c r="E63" i="15"/>
  <c r="I63" i="24" s="1"/>
  <c r="E62" i="15"/>
  <c r="I62" i="24" s="1"/>
  <c r="F65" i="13"/>
  <c r="E65" i="12"/>
  <c r="L65" i="24" s="1"/>
  <c r="E35" i="12"/>
  <c r="L35" i="24" s="1"/>
  <c r="E35" i="22"/>
  <c r="C35" i="24" s="1"/>
  <c r="E26" i="22"/>
  <c r="C26" i="24" s="1"/>
  <c r="E21" i="22"/>
  <c r="C21" i="24" s="1"/>
  <c r="E17" i="22"/>
  <c r="C17" i="24" s="1"/>
  <c r="G64" i="25"/>
  <c r="E63" i="18"/>
  <c r="F63" i="24" s="1"/>
  <c r="F62" i="15"/>
  <c r="E65" i="6"/>
  <c r="R65" i="24" s="1"/>
  <c r="F61" i="5"/>
  <c r="E16" i="19"/>
  <c r="E16" i="24" s="1"/>
  <c r="F29" i="25"/>
  <c r="D29" i="20"/>
  <c r="D47" i="25"/>
  <c r="E25" i="19"/>
  <c r="E25" i="24" s="1"/>
  <c r="F56" i="25"/>
  <c r="E8" i="19"/>
  <c r="E8" i="24" s="1"/>
  <c r="F8" i="25"/>
  <c r="N10" i="25"/>
  <c r="E10" i="11"/>
  <c r="M10" i="24" s="1"/>
  <c r="E25" i="13"/>
  <c r="K25" i="24" s="1"/>
  <c r="E52" i="13"/>
  <c r="K52" i="24" s="1"/>
  <c r="F36" i="19"/>
  <c r="E54" i="23" l="1"/>
  <c r="F54" i="23"/>
  <c r="F61" i="20"/>
  <c r="D83" i="23"/>
  <c r="D84" i="23"/>
  <c r="F84" i="23" s="1"/>
  <c r="F33" i="20"/>
  <c r="F6" i="23"/>
  <c r="O60" i="25"/>
  <c r="E9" i="23"/>
  <c r="P6" i="25"/>
  <c r="D6" i="19"/>
  <c r="E6" i="9"/>
  <c r="O6" i="24" s="1"/>
  <c r="E60" i="9"/>
  <c r="O60" i="24" s="1"/>
  <c r="E60" i="16"/>
  <c r="H60" i="24" s="1"/>
  <c r="E10" i="20"/>
  <c r="F51" i="20"/>
  <c r="F60" i="9"/>
  <c r="D19" i="24"/>
  <c r="E33" i="25"/>
  <c r="C33" i="25" s="1"/>
  <c r="E60" i="15"/>
  <c r="I60" i="24" s="1"/>
  <c r="D13" i="24"/>
  <c r="F10" i="20"/>
  <c r="F60" i="16"/>
  <c r="F60" i="18"/>
  <c r="F60" i="15"/>
  <c r="E14" i="25"/>
  <c r="D43" i="24"/>
  <c r="D7" i="24"/>
  <c r="D12" i="24"/>
  <c r="E41" i="25"/>
  <c r="C41" i="25" s="1"/>
  <c r="D36" i="24"/>
  <c r="D15" i="24"/>
  <c r="E31" i="25"/>
  <c r="C31" i="25" s="1"/>
  <c r="E27" i="25"/>
  <c r="C27" i="25" s="1"/>
  <c r="E58" i="25"/>
  <c r="C58" i="25" s="1"/>
  <c r="E15" i="25"/>
  <c r="E20" i="25"/>
  <c r="C20" i="25" s="1"/>
  <c r="E16" i="25"/>
  <c r="F87" i="23"/>
  <c r="E25" i="25"/>
  <c r="C25" i="25" s="1"/>
  <c r="E12" i="25"/>
  <c r="E21" i="25"/>
  <c r="C21" i="25" s="1"/>
  <c r="E13" i="25"/>
  <c r="D20" i="24"/>
  <c r="D47" i="24"/>
  <c r="E50" i="25"/>
  <c r="C50" i="25" s="1"/>
  <c r="D21" i="24"/>
  <c r="E56" i="25"/>
  <c r="C56" i="25" s="1"/>
  <c r="F11" i="20"/>
  <c r="D44" i="24"/>
  <c r="E47" i="25"/>
  <c r="C47" i="25" s="1"/>
  <c r="F54" i="20"/>
  <c r="E11" i="25"/>
  <c r="E12" i="23"/>
  <c r="D75" i="23"/>
  <c r="F75" i="23" s="1"/>
  <c r="D14" i="24"/>
  <c r="E36" i="25"/>
  <c r="C36" i="25" s="1"/>
  <c r="E78" i="23"/>
  <c r="E12" i="20"/>
  <c r="D40" i="24"/>
  <c r="D28" i="24"/>
  <c r="D49" i="24"/>
  <c r="E55" i="25"/>
  <c r="C55" i="25" s="1"/>
  <c r="D41" i="24"/>
  <c r="E9" i="25"/>
  <c r="D30" i="24"/>
  <c r="F14" i="20"/>
  <c r="E43" i="25"/>
  <c r="C43" i="25" s="1"/>
  <c r="E51" i="25"/>
  <c r="C51" i="25" s="1"/>
  <c r="D50" i="23"/>
  <c r="E50" i="23" s="1"/>
  <c r="E17" i="25"/>
  <c r="C17" i="25" s="1"/>
  <c r="E32" i="25"/>
  <c r="C32" i="25" s="1"/>
  <c r="F26" i="20"/>
  <c r="E46" i="25"/>
  <c r="C46" i="25" s="1"/>
  <c r="F53" i="20"/>
  <c r="F62" i="20"/>
  <c r="D58" i="24"/>
  <c r="D23" i="24"/>
  <c r="E59" i="25"/>
  <c r="C59" i="25" s="1"/>
  <c r="E45" i="25"/>
  <c r="C45" i="25" s="1"/>
  <c r="E67" i="23"/>
  <c r="E8" i="25"/>
  <c r="E11" i="20"/>
  <c r="D27" i="24"/>
  <c r="E44" i="25"/>
  <c r="C44" i="25" s="1"/>
  <c r="E57" i="25"/>
  <c r="C57" i="25" s="1"/>
  <c r="D18" i="24"/>
  <c r="D26" i="24"/>
  <c r="D68" i="23"/>
  <c r="E68" i="23" s="1"/>
  <c r="E36" i="20"/>
  <c r="E57" i="20"/>
  <c r="D56" i="23"/>
  <c r="E56" i="23" s="1"/>
  <c r="F12" i="20"/>
  <c r="E15" i="20"/>
  <c r="D11" i="24"/>
  <c r="E63" i="25"/>
  <c r="C63" i="25" s="1"/>
  <c r="E74" i="23"/>
  <c r="E62" i="20"/>
  <c r="E53" i="20"/>
  <c r="F15" i="20"/>
  <c r="D9" i="24"/>
  <c r="E46" i="20"/>
  <c r="D72" i="23"/>
  <c r="E72" i="23" s="1"/>
  <c r="E59" i="20"/>
  <c r="F59" i="20"/>
  <c r="E28" i="25"/>
  <c r="C28" i="25" s="1"/>
  <c r="D43" i="23"/>
  <c r="F43" i="23" s="1"/>
  <c r="D10" i="24"/>
  <c r="D62" i="24"/>
  <c r="D48" i="24"/>
  <c r="D64" i="24"/>
  <c r="E55" i="20"/>
  <c r="E49" i="25"/>
  <c r="C49" i="25" s="1"/>
  <c r="F18" i="20"/>
  <c r="E35" i="25"/>
  <c r="C35" i="25" s="1"/>
  <c r="F46" i="20"/>
  <c r="D22" i="24"/>
  <c r="E19" i="20"/>
  <c r="E44" i="20"/>
  <c r="E49" i="20"/>
  <c r="D56" i="24"/>
  <c r="F38" i="23"/>
  <c r="F65" i="23"/>
  <c r="D45" i="24"/>
  <c r="F9" i="20"/>
  <c r="D55" i="24"/>
  <c r="E60" i="18"/>
  <c r="F60" i="24" s="1"/>
  <c r="D48" i="23"/>
  <c r="F48" i="23" s="1"/>
  <c r="F30" i="20"/>
  <c r="D33" i="24"/>
  <c r="F46" i="23"/>
  <c r="E23" i="25"/>
  <c r="C23" i="25" s="1"/>
  <c r="E18" i="25"/>
  <c r="C18" i="25" s="1"/>
  <c r="D57" i="24"/>
  <c r="E48" i="25"/>
  <c r="C48" i="25" s="1"/>
  <c r="D29" i="24"/>
  <c r="E30" i="25"/>
  <c r="C30" i="25" s="1"/>
  <c r="E58" i="20"/>
  <c r="E19" i="25"/>
  <c r="C19" i="25" s="1"/>
  <c r="T24" i="25"/>
  <c r="E24" i="5"/>
  <c r="S24" i="24" s="1"/>
  <c r="F24" i="5"/>
  <c r="P24" i="25"/>
  <c r="E24" i="9"/>
  <c r="O24" i="24" s="1"/>
  <c r="T6" i="25"/>
  <c r="E10" i="25"/>
  <c r="E18" i="20"/>
  <c r="F23" i="20"/>
  <c r="F60" i="10"/>
  <c r="D64" i="23"/>
  <c r="E64" i="23" s="1"/>
  <c r="D61" i="24"/>
  <c r="D17" i="24"/>
  <c r="D77" i="23"/>
  <c r="E43" i="20"/>
  <c r="E22" i="25"/>
  <c r="C22" i="25" s="1"/>
  <c r="D61" i="23"/>
  <c r="E61" i="23" s="1"/>
  <c r="D70" i="23"/>
  <c r="E70" i="23" s="1"/>
  <c r="E26" i="20"/>
  <c r="E24" i="16"/>
  <c r="H24" i="24" s="1"/>
  <c r="I24" i="25"/>
  <c r="F24" i="16"/>
  <c r="F60" i="13"/>
  <c r="L60" i="25"/>
  <c r="E60" i="13"/>
  <c r="K60" i="24" s="1"/>
  <c r="D53" i="24"/>
  <c r="D62" i="23"/>
  <c r="E41" i="20"/>
  <c r="D8" i="24"/>
  <c r="E38" i="5"/>
  <c r="S38" i="24" s="1"/>
  <c r="D63" i="24"/>
  <c r="D31" i="24"/>
  <c r="D59" i="24"/>
  <c r="E7" i="25"/>
  <c r="D32" i="24"/>
  <c r="E54" i="25"/>
  <c r="C54" i="25" s="1"/>
  <c r="D46" i="24"/>
  <c r="D54" i="24"/>
  <c r="F44" i="20"/>
  <c r="F53" i="23"/>
  <c r="E40" i="20"/>
  <c r="D50" i="24"/>
  <c r="F24" i="9"/>
  <c r="F25" i="20"/>
  <c r="D55" i="23"/>
  <c r="E55" i="23" s="1"/>
  <c r="E14" i="20"/>
  <c r="E56" i="20"/>
  <c r="E33" i="20"/>
  <c r="F58" i="20"/>
  <c r="D52" i="20"/>
  <c r="F52" i="20" s="1"/>
  <c r="E45" i="23"/>
  <c r="F20" i="20"/>
  <c r="E53" i="23"/>
  <c r="E26" i="25"/>
  <c r="C26" i="25" s="1"/>
  <c r="C44" i="23"/>
  <c r="E45" i="20"/>
  <c r="D66" i="23"/>
  <c r="D40" i="23"/>
  <c r="E40" i="23" s="1"/>
  <c r="E79" i="23"/>
  <c r="E61" i="25"/>
  <c r="C61" i="25" s="1"/>
  <c r="F50" i="20"/>
  <c r="E50" i="20"/>
  <c r="F74" i="23"/>
  <c r="D51" i="24"/>
  <c r="E69" i="23"/>
  <c r="E40" i="25"/>
  <c r="C40" i="25" s="1"/>
  <c r="F32" i="20"/>
  <c r="E32" i="20"/>
  <c r="E25" i="20"/>
  <c r="D41" i="23"/>
  <c r="F13" i="20"/>
  <c r="E21" i="20"/>
  <c r="E16" i="20"/>
  <c r="D39" i="23"/>
  <c r="F39" i="23" s="1"/>
  <c r="F8" i="20"/>
  <c r="E6" i="10"/>
  <c r="N6" i="24" s="1"/>
  <c r="F6" i="10"/>
  <c r="O6" i="25"/>
  <c r="F6" i="12"/>
  <c r="M6" i="25"/>
  <c r="E6" i="12"/>
  <c r="L6" i="24" s="1"/>
  <c r="E52" i="10"/>
  <c r="N52" i="24" s="1"/>
  <c r="O52" i="25"/>
  <c r="F52" i="10"/>
  <c r="E24" i="3"/>
  <c r="T24" i="24" s="1"/>
  <c r="U24" i="25"/>
  <c r="F24" i="3"/>
  <c r="E24" i="8"/>
  <c r="P24" i="24" s="1"/>
  <c r="F24" i="8"/>
  <c r="Q24" i="25"/>
  <c r="Q38" i="25"/>
  <c r="F6" i="8"/>
  <c r="C82" i="23"/>
  <c r="D51" i="23"/>
  <c r="E51" i="23" s="1"/>
  <c r="E31" i="20"/>
  <c r="D90" i="23"/>
  <c r="F65" i="20"/>
  <c r="E65" i="20"/>
  <c r="F42" i="22"/>
  <c r="E42" i="22"/>
  <c r="C42" i="24" s="1"/>
  <c r="D42" i="25"/>
  <c r="R24" i="25"/>
  <c r="E24" i="7"/>
  <c r="Q24" i="24" s="1"/>
  <c r="F24" i="7"/>
  <c r="D35" i="24"/>
  <c r="F42" i="15"/>
  <c r="J42" i="25"/>
  <c r="E42" i="15"/>
  <c r="I42" i="24" s="1"/>
  <c r="G24" i="25"/>
  <c r="F24" i="18"/>
  <c r="E24" i="18"/>
  <c r="F24" i="24" s="1"/>
  <c r="F24" i="11"/>
  <c r="E24" i="11"/>
  <c r="M24" i="24" s="1"/>
  <c r="N24" i="25"/>
  <c r="M60" i="25"/>
  <c r="F60" i="12"/>
  <c r="E60" i="12"/>
  <c r="L60" i="24" s="1"/>
  <c r="S52" i="25"/>
  <c r="E52" i="6"/>
  <c r="R52" i="24" s="1"/>
  <c r="F52" i="6"/>
  <c r="U52" i="25"/>
  <c r="E52" i="3"/>
  <c r="T52" i="24" s="1"/>
  <c r="F52" i="3"/>
  <c r="E53" i="25"/>
  <c r="C53" i="25" s="1"/>
  <c r="F60" i="6"/>
  <c r="E60" i="6"/>
  <c r="R60" i="24" s="1"/>
  <c r="S60" i="25"/>
  <c r="D65" i="24"/>
  <c r="C73" i="23"/>
  <c r="D37" i="23"/>
  <c r="D39" i="19"/>
  <c r="E42" i="19"/>
  <c r="E42" i="24" s="1"/>
  <c r="F42" i="19"/>
  <c r="F42" i="25"/>
  <c r="F52" i="15"/>
  <c r="J52" i="25"/>
  <c r="F64" i="20"/>
  <c r="E64" i="20"/>
  <c r="E42" i="9"/>
  <c r="O42" i="24" s="1"/>
  <c r="F42" i="9"/>
  <c r="P42" i="25"/>
  <c r="E60" i="19"/>
  <c r="E60" i="24" s="1"/>
  <c r="F60" i="25"/>
  <c r="N52" i="25"/>
  <c r="E52" i="11"/>
  <c r="M52" i="24" s="1"/>
  <c r="F52" i="11"/>
  <c r="Q60" i="25"/>
  <c r="E60" i="8"/>
  <c r="P60" i="24" s="1"/>
  <c r="T52" i="25"/>
  <c r="F52" i="5"/>
  <c r="E52" i="5"/>
  <c r="S52" i="24" s="1"/>
  <c r="F69" i="23"/>
  <c r="F83" i="23"/>
  <c r="E61" i="20"/>
  <c r="E48" i="20"/>
  <c r="H60" i="25"/>
  <c r="F60" i="17"/>
  <c r="E60" i="17"/>
  <c r="G60" i="24" s="1"/>
  <c r="D42" i="20"/>
  <c r="C38" i="20"/>
  <c r="F42" i="7"/>
  <c r="R42" i="25"/>
  <c r="N42" i="25"/>
  <c r="F42" i="11"/>
  <c r="F60" i="11"/>
  <c r="N60" i="25"/>
  <c r="D60" i="25"/>
  <c r="E60" i="22"/>
  <c r="C60" i="24" s="1"/>
  <c r="F60" i="22"/>
  <c r="D47" i="23"/>
  <c r="E27" i="20"/>
  <c r="U42" i="25"/>
  <c r="F42" i="3"/>
  <c r="E42" i="3"/>
  <c r="T42" i="24" s="1"/>
  <c r="E29" i="25"/>
  <c r="C29" i="25" s="1"/>
  <c r="E64" i="25"/>
  <c r="C64" i="25" s="1"/>
  <c r="F27" i="20"/>
  <c r="F52" i="25"/>
  <c r="E52" i="19"/>
  <c r="E52" i="24" s="1"/>
  <c r="F52" i="19"/>
  <c r="R52" i="25"/>
  <c r="F52" i="7"/>
  <c r="E52" i="7"/>
  <c r="Q52" i="24" s="1"/>
  <c r="E62" i="25"/>
  <c r="C62" i="25" s="1"/>
  <c r="F42" i="14"/>
  <c r="K42" i="25"/>
  <c r="E42" i="14"/>
  <c r="J42" i="24" s="1"/>
  <c r="E63" i="20"/>
  <c r="E42" i="11"/>
  <c r="M42" i="24" s="1"/>
  <c r="D16" i="24"/>
  <c r="D60" i="20"/>
  <c r="F60" i="20" s="1"/>
  <c r="E80" i="23"/>
  <c r="E17" i="20"/>
  <c r="F16" i="20"/>
  <c r="F52" i="9"/>
  <c r="P52" i="25"/>
  <c r="F24" i="12"/>
  <c r="E24" i="12"/>
  <c r="L24" i="24" s="1"/>
  <c r="M24" i="25"/>
  <c r="M52" i="25"/>
  <c r="E52" i="12"/>
  <c r="L52" i="24" s="1"/>
  <c r="F52" i="12"/>
  <c r="U60" i="25"/>
  <c r="F60" i="3"/>
  <c r="E60" i="3"/>
  <c r="T60" i="24" s="1"/>
  <c r="E60" i="11"/>
  <c r="M60" i="24" s="1"/>
  <c r="I38" i="25"/>
  <c r="E38" i="16"/>
  <c r="H38" i="24" s="1"/>
  <c r="F38" i="16"/>
  <c r="K60" i="25"/>
  <c r="F60" i="14"/>
  <c r="E60" i="14"/>
  <c r="J60" i="24" s="1"/>
  <c r="E60" i="5"/>
  <c r="S60" i="24" s="1"/>
  <c r="T60" i="25"/>
  <c r="F60" i="5"/>
  <c r="F7" i="20"/>
  <c r="F71" i="23"/>
  <c r="E71" i="23"/>
  <c r="E22" i="20"/>
  <c r="D42" i="23"/>
  <c r="F22" i="20"/>
  <c r="C39" i="20"/>
  <c r="F24" i="10"/>
  <c r="O24" i="25"/>
  <c r="E24" i="10"/>
  <c r="N24" i="24" s="1"/>
  <c r="E65" i="25"/>
  <c r="C65" i="25" s="1"/>
  <c r="C63" i="23"/>
  <c r="R60" i="25"/>
  <c r="E60" i="7"/>
  <c r="Q60" i="24" s="1"/>
  <c r="F60" i="7"/>
  <c r="F48" i="20"/>
  <c r="F6" i="9"/>
  <c r="D92" i="23"/>
  <c r="F92" i="23" s="1"/>
  <c r="D19" i="23"/>
  <c r="E15" i="23"/>
  <c r="F15" i="23"/>
  <c r="E52" i="23"/>
  <c r="F52" i="23"/>
  <c r="E42" i="18"/>
  <c r="F42" i="24" s="1"/>
  <c r="G42" i="25"/>
  <c r="F42" i="18"/>
  <c r="L42" i="25"/>
  <c r="F42" i="13"/>
  <c r="E42" i="13"/>
  <c r="K42" i="24" s="1"/>
  <c r="M42" i="25"/>
  <c r="F42" i="12"/>
  <c r="E42" i="12"/>
  <c r="L42" i="24" s="1"/>
  <c r="E52" i="16"/>
  <c r="H52" i="24" s="1"/>
  <c r="I52" i="25"/>
  <c r="F52" i="16"/>
  <c r="O42" i="25"/>
  <c r="F42" i="10"/>
  <c r="E42" i="10"/>
  <c r="N42" i="24" s="1"/>
  <c r="F24" i="17"/>
  <c r="E24" i="17"/>
  <c r="G24" i="24" s="1"/>
  <c r="H24" i="25"/>
  <c r="F52" i="8"/>
  <c r="Q52" i="25"/>
  <c r="E52" i="8"/>
  <c r="P52" i="24" s="1"/>
  <c r="J24" i="25"/>
  <c r="E24" i="15"/>
  <c r="I24" i="24" s="1"/>
  <c r="F24" i="15"/>
  <c r="F42" i="8"/>
  <c r="Q42" i="25"/>
  <c r="E42" i="8"/>
  <c r="P42" i="24" s="1"/>
  <c r="L52" i="25"/>
  <c r="F52" i="13"/>
  <c r="L24" i="25"/>
  <c r="F24" i="13"/>
  <c r="F42" i="6"/>
  <c r="E42" i="6"/>
  <c r="R42" i="24" s="1"/>
  <c r="S42" i="25"/>
  <c r="F24" i="19"/>
  <c r="F24" i="25"/>
  <c r="D38" i="19"/>
  <c r="D24" i="20"/>
  <c r="D6" i="20" s="1"/>
  <c r="D49" i="23"/>
  <c r="F29" i="20"/>
  <c r="E29" i="20"/>
  <c r="F24" i="6"/>
  <c r="S24" i="25"/>
  <c r="E24" i="6"/>
  <c r="R24" i="24" s="1"/>
  <c r="G52" i="25"/>
  <c r="E52" i="18"/>
  <c r="F52" i="24" s="1"/>
  <c r="F52" i="18"/>
  <c r="F24" i="14"/>
  <c r="E24" i="14"/>
  <c r="J24" i="24" s="1"/>
  <c r="K24" i="25"/>
  <c r="F42" i="16"/>
  <c r="E42" i="16"/>
  <c r="H42" i="24" s="1"/>
  <c r="I42" i="25"/>
  <c r="F52" i="17"/>
  <c r="H52" i="25"/>
  <c r="E52" i="17"/>
  <c r="G52" i="24" s="1"/>
  <c r="F42" i="5"/>
  <c r="T42" i="25"/>
  <c r="E42" i="5"/>
  <c r="S42" i="24" s="1"/>
  <c r="D25" i="24"/>
  <c r="F52" i="14"/>
  <c r="E52" i="14"/>
  <c r="J52" i="24" s="1"/>
  <c r="K52" i="25"/>
  <c r="E42" i="17"/>
  <c r="G42" i="24" s="1"/>
  <c r="H42" i="25"/>
  <c r="F42" i="17"/>
  <c r="E84" i="23" l="1"/>
  <c r="E75" i="23"/>
  <c r="F38" i="5"/>
  <c r="T38" i="25"/>
  <c r="F6" i="5"/>
  <c r="E6" i="5"/>
  <c r="S6" i="24" s="1"/>
  <c r="E92" i="23"/>
  <c r="F50" i="23"/>
  <c r="E43" i="23"/>
  <c r="F56" i="23"/>
  <c r="E38" i="8"/>
  <c r="P38" i="24" s="1"/>
  <c r="F64" i="23"/>
  <c r="F72" i="23"/>
  <c r="E48" i="23"/>
  <c r="C60" i="23"/>
  <c r="F61" i="23"/>
  <c r="E77" i="23"/>
  <c r="F77" i="23"/>
  <c r="D24" i="24"/>
  <c r="D6" i="24" s="1"/>
  <c r="D63" i="23"/>
  <c r="F63" i="23" s="1"/>
  <c r="D73" i="23"/>
  <c r="E73" i="23" s="1"/>
  <c r="E6" i="16"/>
  <c r="H6" i="24" s="1"/>
  <c r="F6" i="16"/>
  <c r="I6" i="25"/>
  <c r="E62" i="23"/>
  <c r="F62" i="23"/>
  <c r="F38" i="8"/>
  <c r="F70" i="23"/>
  <c r="P38" i="25"/>
  <c r="E38" i="9"/>
  <c r="O38" i="24" s="1"/>
  <c r="F38" i="9"/>
  <c r="E52" i="20"/>
  <c r="D39" i="20"/>
  <c r="E39" i="20" s="1"/>
  <c r="E39" i="23"/>
  <c r="F40" i="23"/>
  <c r="F66" i="23"/>
  <c r="E66" i="23"/>
  <c r="E60" i="20"/>
  <c r="E42" i="20"/>
  <c r="F42" i="20"/>
  <c r="E41" i="23"/>
  <c r="F41" i="23"/>
  <c r="U38" i="25"/>
  <c r="E38" i="3"/>
  <c r="T38" i="24" s="1"/>
  <c r="F38" i="3"/>
  <c r="F38" i="10"/>
  <c r="O38" i="25"/>
  <c r="E38" i="10"/>
  <c r="N38" i="24" s="1"/>
  <c r="E39" i="7"/>
  <c r="Q39" i="24" s="1"/>
  <c r="R39" i="25"/>
  <c r="F39" i="7"/>
  <c r="F39" i="9"/>
  <c r="P39" i="25"/>
  <c r="E39" i="9"/>
  <c r="O39" i="24" s="1"/>
  <c r="F86" i="23"/>
  <c r="E86" i="23"/>
  <c r="E37" i="23"/>
  <c r="F37" i="23"/>
  <c r="N38" i="25"/>
  <c r="E38" i="11"/>
  <c r="M38" i="24" s="1"/>
  <c r="F38" i="11"/>
  <c r="D82" i="23"/>
  <c r="F82" i="23" s="1"/>
  <c r="F85" i="23"/>
  <c r="E85" i="23"/>
  <c r="E60" i="25"/>
  <c r="C60" i="25" s="1"/>
  <c r="F38" i="18"/>
  <c r="E38" i="18"/>
  <c r="F38" i="24" s="1"/>
  <c r="G38" i="25"/>
  <c r="F39" i="15"/>
  <c r="E39" i="15"/>
  <c r="I39" i="24" s="1"/>
  <c r="J39" i="25"/>
  <c r="E6" i="7"/>
  <c r="Q6" i="24" s="1"/>
  <c r="F6" i="7"/>
  <c r="R6" i="25"/>
  <c r="F90" i="23"/>
  <c r="E90" i="23"/>
  <c r="E83" i="23"/>
  <c r="M38" i="25"/>
  <c r="F38" i="12"/>
  <c r="E38" i="12"/>
  <c r="L38" i="24" s="1"/>
  <c r="E47" i="23"/>
  <c r="F47" i="23"/>
  <c r="F39" i="11"/>
  <c r="E39" i="11"/>
  <c r="M39" i="24" s="1"/>
  <c r="N39" i="25"/>
  <c r="D60" i="24"/>
  <c r="E38" i="7"/>
  <c r="Q38" i="24" s="1"/>
  <c r="F38" i="7"/>
  <c r="R38" i="25"/>
  <c r="E6" i="8"/>
  <c r="P6" i="24" s="1"/>
  <c r="Q6" i="25"/>
  <c r="F42" i="23"/>
  <c r="E42" i="23"/>
  <c r="G6" i="25"/>
  <c r="F6" i="18"/>
  <c r="E6" i="18"/>
  <c r="F6" i="24" s="1"/>
  <c r="U39" i="25"/>
  <c r="F39" i="3"/>
  <c r="E39" i="3"/>
  <c r="T39" i="24" s="1"/>
  <c r="F39" i="19"/>
  <c r="F39" i="25"/>
  <c r="E39" i="19"/>
  <c r="E39" i="24" s="1"/>
  <c r="E6" i="11"/>
  <c r="M6" i="24" s="1"/>
  <c r="F6" i="11"/>
  <c r="N6" i="25"/>
  <c r="D39" i="25"/>
  <c r="F39" i="22"/>
  <c r="E39" i="22"/>
  <c r="C39" i="24" s="1"/>
  <c r="U6" i="25"/>
  <c r="E6" i="3"/>
  <c r="T6" i="24" s="1"/>
  <c r="F6" i="3"/>
  <c r="F19" i="23"/>
  <c r="E19" i="23"/>
  <c r="K39" i="25"/>
  <c r="E39" i="14"/>
  <c r="J39" i="24" s="1"/>
  <c r="F39" i="14"/>
  <c r="E38" i="14"/>
  <c r="J38" i="24" s="1"/>
  <c r="F38" i="14"/>
  <c r="K38" i="25"/>
  <c r="E52" i="25"/>
  <c r="C52" i="25" s="1"/>
  <c r="F49" i="23"/>
  <c r="E49" i="23"/>
  <c r="E24" i="25"/>
  <c r="F6" i="13"/>
  <c r="E6" i="13"/>
  <c r="K6" i="24" s="1"/>
  <c r="L6" i="25"/>
  <c r="E42" i="25"/>
  <c r="C42" i="25" s="1"/>
  <c r="S6" i="25"/>
  <c r="E6" i="6"/>
  <c r="R6" i="24" s="1"/>
  <c r="F6" i="6"/>
  <c r="E38" i="6"/>
  <c r="R38" i="24" s="1"/>
  <c r="F38" i="6"/>
  <c r="S38" i="25"/>
  <c r="D44" i="23"/>
  <c r="E24" i="20"/>
  <c r="F24" i="20"/>
  <c r="H6" i="25"/>
  <c r="F6" i="17"/>
  <c r="E6" i="17"/>
  <c r="G6" i="24" s="1"/>
  <c r="F39" i="12"/>
  <c r="M39" i="25"/>
  <c r="E39" i="12"/>
  <c r="L39" i="24" s="1"/>
  <c r="E39" i="13"/>
  <c r="K39" i="24" s="1"/>
  <c r="F39" i="13"/>
  <c r="L39" i="25"/>
  <c r="E39" i="18"/>
  <c r="F39" i="24" s="1"/>
  <c r="G39" i="25"/>
  <c r="F39" i="18"/>
  <c r="H39" i="25"/>
  <c r="F39" i="17"/>
  <c r="E39" i="17"/>
  <c r="G39" i="24" s="1"/>
  <c r="F39" i="5"/>
  <c r="T39" i="25"/>
  <c r="E39" i="5"/>
  <c r="S39" i="24" s="1"/>
  <c r="F39" i="16"/>
  <c r="I39" i="25"/>
  <c r="E39" i="16"/>
  <c r="H39" i="24" s="1"/>
  <c r="F6" i="25"/>
  <c r="F6" i="19"/>
  <c r="E6" i="19"/>
  <c r="E6" i="24" s="1"/>
  <c r="S39" i="25"/>
  <c r="F39" i="6"/>
  <c r="E39" i="6"/>
  <c r="R39" i="24" s="1"/>
  <c r="D42" i="24"/>
  <c r="J6" i="25"/>
  <c r="F6" i="15"/>
  <c r="E6" i="15"/>
  <c r="I6" i="24" s="1"/>
  <c r="F6" i="14"/>
  <c r="E6" i="14"/>
  <c r="J6" i="24" s="1"/>
  <c r="K6" i="25"/>
  <c r="D52" i="24"/>
  <c r="F38" i="25"/>
  <c r="F38" i="19"/>
  <c r="D38" i="20"/>
  <c r="E38" i="19"/>
  <c r="E38" i="24" s="1"/>
  <c r="L38" i="25"/>
  <c r="E38" i="13"/>
  <c r="K38" i="24" s="1"/>
  <c r="F38" i="13"/>
  <c r="E39" i="8"/>
  <c r="P39" i="24" s="1"/>
  <c r="F39" i="8"/>
  <c r="Q39" i="25"/>
  <c r="F38" i="15"/>
  <c r="J38" i="25"/>
  <c r="E38" i="15"/>
  <c r="I38" i="24" s="1"/>
  <c r="F38" i="17"/>
  <c r="E38" i="17"/>
  <c r="G38" i="24" s="1"/>
  <c r="H38" i="25"/>
  <c r="E39" i="10"/>
  <c r="N39" i="24" s="1"/>
  <c r="F39" i="10"/>
  <c r="O39" i="25"/>
  <c r="D60" i="23" l="1"/>
  <c r="F60" i="23" s="1"/>
  <c r="E63" i="23"/>
  <c r="F73" i="23"/>
  <c r="F39" i="20"/>
  <c r="E82" i="23"/>
  <c r="D39" i="24"/>
  <c r="D38" i="24"/>
  <c r="F38" i="20"/>
  <c r="E38" i="20"/>
  <c r="E39" i="25"/>
  <c r="C39" i="25" s="1"/>
  <c r="F6" i="20"/>
  <c r="E6" i="20"/>
  <c r="C24" i="25"/>
  <c r="E6" i="25"/>
  <c r="E38" i="25"/>
  <c r="E44" i="23"/>
  <c r="F44" i="23"/>
  <c r="E60" i="23" l="1"/>
  <c r="F11" i="22" l="1"/>
  <c r="F8" i="22"/>
  <c r="F16" i="22"/>
  <c r="F13" i="22"/>
  <c r="C28" i="23"/>
  <c r="C33" i="23"/>
  <c r="C35" i="23"/>
  <c r="F15" i="22"/>
  <c r="F14" i="22"/>
  <c r="C32" i="23"/>
  <c r="F12" i="22"/>
  <c r="F9" i="22"/>
  <c r="F7" i="22"/>
  <c r="F10" i="22"/>
  <c r="C30" i="23"/>
  <c r="D34" i="23"/>
  <c r="C34" i="23"/>
  <c r="E8" i="22"/>
  <c r="C8" i="24" s="1"/>
  <c r="D8" i="25"/>
  <c r="C8" i="25" s="1"/>
  <c r="C29" i="23"/>
  <c r="E9" i="22"/>
  <c r="C9" i="24" s="1"/>
  <c r="D9" i="25"/>
  <c r="C9" i="25" s="1"/>
  <c r="C31" i="23"/>
  <c r="C36" i="23"/>
  <c r="E10" i="22"/>
  <c r="C10" i="24" s="1"/>
  <c r="E12" i="22"/>
  <c r="C12" i="24" s="1"/>
  <c r="C27" i="23"/>
  <c r="E11" i="22"/>
  <c r="C11" i="24" s="1"/>
  <c r="D11" i="25"/>
  <c r="C11" i="25" s="1"/>
  <c r="D36" i="23"/>
  <c r="E13" i="22"/>
  <c r="C13" i="24" s="1"/>
  <c r="E15" i="22"/>
  <c r="C15" i="24" s="1"/>
  <c r="F38" i="22"/>
  <c r="C26" i="23" l="1"/>
  <c r="C93" i="23" s="1"/>
  <c r="E34" i="23"/>
  <c r="D30" i="23"/>
  <c r="F30" i="23" s="1"/>
  <c r="D28" i="23"/>
  <c r="E28" i="23" s="1"/>
  <c r="E7" i="22"/>
  <c r="C7" i="24" s="1"/>
  <c r="E16" i="22"/>
  <c r="C16" i="24" s="1"/>
  <c r="D33" i="23"/>
  <c r="E33" i="23" s="1"/>
  <c r="D38" i="25"/>
  <c r="C38" i="25" s="1"/>
  <c r="F34" i="23"/>
  <c r="C58" i="23"/>
  <c r="D27" i="23"/>
  <c r="D7" i="25"/>
  <c r="C7" i="25" s="1"/>
  <c r="D16" i="25"/>
  <c r="C16" i="25" s="1"/>
  <c r="E36" i="23"/>
  <c r="F36" i="23"/>
  <c r="D6" i="25"/>
  <c r="D29" i="23"/>
  <c r="E29" i="23" s="1"/>
  <c r="D15" i="25"/>
  <c r="C15" i="25" s="1"/>
  <c r="D14" i="25"/>
  <c r="C14" i="25" s="1"/>
  <c r="D32" i="23"/>
  <c r="E32" i="23" s="1"/>
  <c r="E14" i="22"/>
  <c r="C14" i="24" s="1"/>
  <c r="D31" i="23"/>
  <c r="F31" i="23" s="1"/>
  <c r="D13" i="25"/>
  <c r="C13" i="25" s="1"/>
  <c r="D12" i="25"/>
  <c r="C12" i="25" s="1"/>
  <c r="D10" i="25"/>
  <c r="C10" i="25" s="1"/>
  <c r="D35" i="23"/>
  <c r="E35" i="23" s="1"/>
  <c r="D26" i="23" l="1"/>
  <c r="D93" i="23" s="1"/>
  <c r="F27" i="23"/>
  <c r="E27" i="23"/>
  <c r="F28" i="23"/>
  <c r="C6" i="24"/>
  <c r="E30" i="23"/>
  <c r="D58" i="23"/>
  <c r="F58" i="23" s="1"/>
  <c r="E38" i="22"/>
  <c r="C38" i="24" s="1"/>
  <c r="C24" i="23"/>
  <c r="C59" i="23" s="1"/>
  <c r="F33" i="23"/>
  <c r="C6" i="25"/>
  <c r="F29" i="23"/>
  <c r="E6" i="22"/>
  <c r="E31" i="23"/>
  <c r="F35" i="23"/>
  <c r="F6" i="22"/>
  <c r="F32" i="23"/>
  <c r="E58" i="23" l="1"/>
  <c r="C91" i="23"/>
  <c r="D24" i="23"/>
  <c r="F26" i="23"/>
  <c r="E26" i="23"/>
  <c r="D59" i="23" l="1"/>
  <c r="F24" i="23"/>
  <c r="E24" i="23"/>
  <c r="F93" i="23"/>
  <c r="E93" i="23"/>
  <c r="D91" i="23" l="1"/>
  <c r="I91" i="23" s="1"/>
  <c r="F59" i="23"/>
  <c r="E59" i="23"/>
  <c r="I98" i="23" l="1"/>
  <c r="I99" i="23"/>
  <c r="E91" i="23"/>
  <c r="F91" i="23"/>
</calcChain>
</file>

<file path=xl/sharedStrings.xml><?xml version="1.0" encoding="utf-8"?>
<sst xmlns="http://schemas.openxmlformats.org/spreadsheetml/2006/main" count="2834" uniqueCount="250">
  <si>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</si>
  <si>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</si>
  <si>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</si>
  <si>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</si>
  <si>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</si>
  <si>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</si>
  <si>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</si>
  <si>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</si>
  <si>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</si>
  <si>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</si>
  <si>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</si>
  <si>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</si>
  <si>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</si>
  <si>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</si>
  <si>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</si>
  <si>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</si>
  <si>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D.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</si>
  <si>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</si>
  <si>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</si>
  <si>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</si>
  <si>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</si>
  <si>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</si>
  <si>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</si>
  <si>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</si>
  <si>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</si>
  <si>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</si>
  <si>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</si>
  <si>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</si>
  <si>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</si>
  <si>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F.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</si>
  <si>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</si>
  <si>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</si>
  <si>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</si>
  <si>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</si>
  <si>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</si>
  <si>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</si>
  <si>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</si>
  <si>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</si>
  <si>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</si>
  <si>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</si>
  <si>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</si>
  <si>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</si>
  <si>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</si>
  <si>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</si>
  <si>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</si>
  <si>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</si>
  <si>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</si>
  <si>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</si>
  <si>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</si>
  <si>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</si>
  <si>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</si>
  <si>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</si>
  <si>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</si>
  <si>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</si>
  <si>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</si>
  <si>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</si>
  <si>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</si>
  <si>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</si>
  <si>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</si>
  <si>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</si>
  <si>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</si>
  <si>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</si>
  <si>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</si>
  <si>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</si>
  <si>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</si>
  <si>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</si>
  <si>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</si>
  <si>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</si>
  <si>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</si>
  <si>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</si>
  <si>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</si>
  <si>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</si>
  <si>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</si>
  <si>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</si>
  <si>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</si>
  <si>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</si>
  <si>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</si>
  <si>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</si>
  <si>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</si>
  <si>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</si>
  <si>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</si>
  <si>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</si>
  <si>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</si>
  <si>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</si>
  <si>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</si>
  <si>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</si>
  <si>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</si>
  <si>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</si>
  <si>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</si>
  <si>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</si>
  <si>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</si>
  <si>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</si>
  <si>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</si>
  <si>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</si>
  <si>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</si>
  <si>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</si>
  <si>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</si>
  <si>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</si>
  <si>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</si>
  <si>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</si>
  <si>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</si>
  <si>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</si>
  <si>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</si>
  <si>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</si>
  <si>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</si>
  <si>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</si>
  <si>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</si>
  <si>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</si>
  <si>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</si>
  <si>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H.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</si>
  <si>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</si>
  <si>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</si>
  <si>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</si>
  <si>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</si>
  <si>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</si>
  <si>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</si>
  <si>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</si>
  <si>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</si>
  <si>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</si>
  <si>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</si>
  <si>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</si>
  <si>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</si>
  <si>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</si>
  <si>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</si>
  <si>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</si>
  <si>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</si>
  <si>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</si>
  <si>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</si>
  <si>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</si>
  <si>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</si>
  <si>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</si>
  <si>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</si>
  <si>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</si>
  <si>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</si>
  <si>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</si>
  <si>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</si>
  <si>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</si>
  <si>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</si>
  <si>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</si>
  <si>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</si>
  <si>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</si>
  <si>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w tys. zł</t>
  </si>
  <si>
    <t>programy terapeutyczne (lekowe), w tym: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</si>
  <si>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</si>
  <si>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</si>
  <si>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</si>
  <si>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</si>
  <si>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</si>
  <si>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</si>
  <si>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</si>
  <si>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</si>
  <si>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</si>
  <si>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</si>
  <si>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</si>
  <si>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</si>
  <si>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</si>
  <si>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</si>
  <si>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</si>
  <si>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</si>
  <si>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</si>
  <si>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</si>
  <si>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</si>
  <si>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</si>
  <si>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</si>
  <si>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</si>
  <si>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</si>
  <si>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</si>
  <si>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</si>
  <si>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Przychody i koszty Narodowego Funduszu Zdrowia - łącznie</t>
  </si>
  <si>
    <t>Koszty Centrali Narodowego Funduszu Zdrowia</t>
  </si>
  <si>
    <t>Koszty oddziałów wojewódzkich NFZ - łącznie</t>
  </si>
  <si>
    <t>Plan 
po zmianie</t>
  </si>
  <si>
    <t>Różnica 
kol.4-kol.3</t>
  </si>
  <si>
    <t>Dynamika
kol.4/kol.3</t>
  </si>
  <si>
    <t xml:space="preserve"> </t>
  </si>
  <si>
    <t>[w tys. zł]</t>
  </si>
  <si>
    <t>Centrala</t>
  </si>
  <si>
    <t>OW NFZ RAZEM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</si>
  <si>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</si>
  <si>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</si>
  <si>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</si>
  <si>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</si>
  <si>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</si>
  <si>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</si>
  <si>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</si>
  <si>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</si>
  <si>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</si>
  <si>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</si>
  <si>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</si>
  <si>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</si>
  <si>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</si>
  <si>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</si>
  <si>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</si>
  <si>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</si>
  <si>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</si>
  <si>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</si>
  <si>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</si>
  <si>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</si>
  <si>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</si>
  <si>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</si>
  <si>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</si>
  <si>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</si>
  <si>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</si>
  <si>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</si>
  <si>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</si>
  <si>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</si>
  <si>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</si>
  <si>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</si>
  <si>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</si>
  <si>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</si>
  <si>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</si>
  <si>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</si>
  <si>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</si>
  <si>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</si>
  <si>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NFZ RAZEM</t>
  </si>
  <si>
    <t>Przychody netto z działalności
(1-2+3-4-5) + A1 + A2 + A3 + A4</t>
  </si>
  <si>
    <t>Pozostałe koszty (F1+ … +F4)</t>
  </si>
  <si>
    <t>Przychody finansowe (G1 + G2)</t>
  </si>
  <si>
    <t>Składka należna brutto w roku planowania równa przypisowi składki
(1.1 + 1.2)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</si>
  <si>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</si>
  <si>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</si>
  <si>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</si>
  <si>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</si>
  <si>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B2.19</t>
  </si>
  <si>
    <t>rezerwa na koszty świadczeń opieki zdrowotnej udzielone w ramach transgranicznej opieki zdrowotnej</t>
  </si>
  <si>
    <t>Koszty administracyjne (D1 + … + D8)</t>
  </si>
  <si>
    <t>podatki i opłaty, z tego:</t>
  </si>
  <si>
    <t>ubezpieczenie społeczne i inne świadczenia, z tego:</t>
  </si>
  <si>
    <t>Koszty administracyjne ( D1+...+D8 )</t>
  </si>
  <si>
    <t>podatki i opłaty, z tego</t>
  </si>
  <si>
    <t>Plan na
2017 rok</t>
  </si>
  <si>
    <t>Plan NFZ na 2017 r. po zmianie</t>
  </si>
  <si>
    <t>Koszty świadczeń opieki zdrowotnej  (B2.1+...+B2.20)</t>
  </si>
  <si>
    <t>B2.20</t>
  </si>
  <si>
    <t>rezerwa na dofinansowanie programów polityki zdrowotnej na podstawie art. 48d ustawy</t>
  </si>
  <si>
    <t>B5</t>
  </si>
  <si>
    <t>Koszty finansowania leku, środka spożywczego specjalnego przeznaczenia żywieniowego oraz wyrobu medycznego w części finansowanej z budżetu państwa zgodnie z art. 43a ust. 3 ustawy</t>
  </si>
  <si>
    <t>Koszty realizacji zadań (B1 + B2 + B3 + B4 + B5)</t>
  </si>
  <si>
    <t>WYNIK FINANSOWY OGÓŁEM NETTO
(C - D + E - F + G - H)</t>
  </si>
  <si>
    <t>WYNIK NA DZIAŁALNOŚCI (A - B)</t>
  </si>
  <si>
    <t xml:space="preserve"> PRZYCHODY - ogółem</t>
  </si>
  <si>
    <t xml:space="preserve"> KOSZTY - ogółem</t>
  </si>
  <si>
    <t>dotacje z budżetu państwa na finansowanie zadań, o których mowa w art. 97 ust. 3
pkt 2a-2c, 3 i 3b ustawy</t>
  </si>
  <si>
    <t>Koszty świadczeń opieki zdrowotnej  (B2.1 + … + B2.20)</t>
  </si>
  <si>
    <t>WG PROGN PRZYCH</t>
  </si>
  <si>
    <t>dotacja AOTMiT</t>
  </si>
  <si>
    <t>środki do dyspozycji z RO</t>
  </si>
  <si>
    <t>środki do dyspozycji w zmianie</t>
  </si>
  <si>
    <t>Odpis na taryfikację świadczeń, o którym mowa w art. 31t ust. 5-8 ustawy</t>
  </si>
  <si>
    <t>ZMIANA PLANU FINANSOWEGO NARODOWEGO FUNDUSZU ZDROWIA NA 2017 ROK Z DNIA 18 LIPCA 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</si>
</sst>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51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Verdana"/>
      <family val="2"/>
      <charset val="238"/>
    </font>
    <font>
      <sz val="10"/>
      <name val="Verdana"/>
      <family val="2"/>
      <charset val="238"/>
    </font>
    <font>
      <b/>
      <sz val="20"/>
      <name val="Times New Roman"/>
      <family val="1"/>
      <charset val="238"/>
    </font>
    <font>
      <b/>
      <sz val="26"/>
      <name val="Times New Roman CE"/>
      <charset val="238"/>
    </font>
    <font>
      <b/>
      <sz val="12"/>
      <name val="Times New Roman CE"/>
      <family val="1"/>
      <charset val="238"/>
    </font>
    <font>
      <b/>
      <sz val="24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8"/>
      <name val="Times New Roman"/>
      <family val="1"/>
      <charset val="238"/>
    </font>
    <font>
      <b/>
      <sz val="20"/>
      <name val="Times New Roman CE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20"/>
      <name val="Times New Roman CE"/>
      <charset val="238"/>
    </font>
    <font>
      <b/>
      <sz val="18"/>
      <name val="Times New Roman CE"/>
      <charset val="238"/>
    </font>
    <font>
      <b/>
      <sz val="14"/>
      <name val="Times New Roman CE"/>
      <charset val="238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sz val="18"/>
      <name val="Arial CE"/>
      <charset val="238"/>
    </font>
    <font>
      <b/>
      <sz val="22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8"/>
      <color theme="1"/>
      <name val="Verdana"/>
      <family val="2"/>
      <charset val="238"/>
    </font>
    <font>
      <b/>
      <sz val="18"/>
      <color theme="0"/>
      <name val="Times New Roman"/>
      <family val="1"/>
      <charset val="238"/>
    </font>
    <font>
      <sz val="14"/>
      <name val="Times New Roman"/>
      <family val="1"/>
    </font>
    <font>
      <sz val="14"/>
      <name val="Times New Roman CE"/>
      <charset val="238"/>
    </font>
    <font>
      <b/>
      <sz val="14"/>
      <name val="Times New Roman"/>
      <family val="1"/>
    </font>
    <font>
      <b/>
      <sz val="14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33" fillId="0" borderId="0"/>
    <xf numFmtId="0" fontId="31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1" fillId="0" borderId="0"/>
  </cellStyleXfs>
  <cellXfs count="162">
    <xf numFmtId="0" fontId="0" fillId="0" borderId="0" xfId="0"/>
    <xf numFmtId="0" fontId="16" fillId="2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0" fontId="4" fillId="0" borderId="0" xfId="0" applyFont="1" applyFill="1" applyBorder="1"/>
    <xf numFmtId="0" fontId="20" fillId="0" borderId="0" xfId="0" applyFont="1" applyFill="1" applyBorder="1"/>
    <xf numFmtId="0" fontId="4" fillId="0" borderId="0" xfId="0" applyFont="1" applyFill="1"/>
    <xf numFmtId="3" fontId="18" fillId="0" borderId="1" xfId="0" applyNumberFormat="1" applyFont="1" applyFill="1" applyBorder="1" applyAlignment="1">
      <alignment horizontal="right" vertical="center"/>
    </xf>
    <xf numFmtId="0" fontId="22" fillId="0" borderId="0" xfId="0" applyFont="1" applyFill="1"/>
    <xf numFmtId="0" fontId="23" fillId="0" borderId="0" xfId="0" applyFont="1" applyFill="1"/>
    <xf numFmtId="0" fontId="21" fillId="0" borderId="0" xfId="0" applyFont="1" applyFill="1"/>
    <xf numFmtId="0" fontId="10" fillId="0" borderId="0" xfId="0" applyFont="1" applyFill="1" applyAlignment="1">
      <alignment vertical="center"/>
    </xf>
    <xf numFmtId="0" fontId="3" fillId="0" borderId="0" xfId="0" applyFont="1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6" fillId="0" borderId="1" xfId="18" applyFont="1" applyFill="1" applyBorder="1" applyAlignment="1" applyProtection="1">
      <alignment horizontal="left" vertical="center" wrapText="1" indent="2"/>
    </xf>
    <xf numFmtId="0" fontId="26" fillId="0" borderId="1" xfId="16" applyFont="1" applyFill="1" applyBorder="1" applyAlignment="1" applyProtection="1">
      <alignment horizontal="left" vertical="center" wrapText="1" indent="2"/>
    </xf>
    <xf numFmtId="0" fontId="29" fillId="0" borderId="1" xfId="18" applyFont="1" applyFill="1" applyBorder="1" applyAlignment="1" applyProtection="1">
      <alignment horizontal="left" vertical="center" wrapText="1" indent="2"/>
    </xf>
    <xf numFmtId="0" fontId="12" fillId="0" borderId="1" xfId="18" applyFont="1" applyFill="1" applyBorder="1" applyAlignment="1" applyProtection="1">
      <alignment horizontal="left" vertical="center" wrapText="1" indent="1"/>
    </xf>
    <xf numFmtId="0" fontId="15" fillId="3" borderId="1" xfId="18" applyFont="1" applyFill="1" applyBorder="1" applyAlignment="1" applyProtection="1">
      <alignment horizontal="left" vertical="center" wrapText="1" indent="1"/>
    </xf>
    <xf numFmtId="0" fontId="28" fillId="0" borderId="1" xfId="18" applyFont="1" applyFill="1" applyBorder="1" applyAlignment="1" applyProtection="1">
      <alignment horizontal="left" vertical="center" wrapText="1" indent="2"/>
    </xf>
    <xf numFmtId="0" fontId="28" fillId="0" borderId="1" xfId="17" applyFont="1" applyFill="1" applyBorder="1" applyAlignment="1" applyProtection="1">
      <alignment horizontal="left" vertical="center" wrapText="1" indent="2"/>
    </xf>
    <xf numFmtId="0" fontId="12" fillId="3" borderId="1" xfId="18" applyFont="1" applyFill="1" applyBorder="1" applyAlignment="1" applyProtection="1">
      <alignment horizontal="left" vertical="center" wrapText="1" indent="1"/>
    </xf>
    <xf numFmtId="0" fontId="13" fillId="3" borderId="1" xfId="18" applyFont="1" applyFill="1" applyBorder="1" applyAlignment="1" applyProtection="1">
      <alignment horizontal="left" vertical="center" wrapText="1" indent="1"/>
    </xf>
    <xf numFmtId="0" fontId="30" fillId="0" borderId="0" xfId="0" applyFont="1" applyFill="1" applyAlignment="1" applyProtection="1">
      <alignment vertical="center"/>
      <protection locked="0"/>
    </xf>
    <xf numFmtId="0" fontId="24" fillId="0" borderId="0" xfId="0" applyFont="1" applyFill="1"/>
    <xf numFmtId="0" fontId="24" fillId="0" borderId="0" xfId="0" applyFont="1" applyFill="1" applyAlignment="1" applyProtection="1">
      <alignment vertical="center"/>
      <protection locked="0"/>
    </xf>
    <xf numFmtId="0" fontId="12" fillId="0" borderId="1" xfId="18" applyFont="1" applyFill="1" applyBorder="1" applyAlignment="1" applyProtection="1">
      <alignment horizontal="left" vertical="center" wrapText="1" indent="2"/>
    </xf>
    <xf numFmtId="0" fontId="13" fillId="0" borderId="1" xfId="18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2"/>
    </xf>
    <xf numFmtId="0" fontId="13" fillId="0" borderId="1" xfId="17" quotePrefix="1" applyFont="1" applyFill="1" applyBorder="1" applyAlignment="1" applyProtection="1">
      <alignment horizontal="left" vertical="center" wrapText="1" indent="2"/>
    </xf>
    <xf numFmtId="0" fontId="12" fillId="0" borderId="1" xfId="17" applyFont="1" applyFill="1" applyBorder="1" applyAlignment="1" applyProtection="1">
      <alignment horizontal="left" vertical="center" wrapText="1" indent="2"/>
    </xf>
    <xf numFmtId="0" fontId="30" fillId="0" borderId="0" xfId="0" applyFont="1" applyFill="1"/>
    <xf numFmtId="0" fontId="17" fillId="0" borderId="0" xfId="0" applyFont="1" applyFill="1" applyBorder="1" applyAlignment="1" applyProtection="1">
      <alignment vertical="center"/>
      <protection locked="0"/>
    </xf>
    <xf numFmtId="3" fontId="10" fillId="0" borderId="1" xfId="0" applyNumberFormat="1" applyFont="1" applyFill="1" applyBorder="1" applyAlignment="1" applyProtection="1">
      <alignment horizontal="right" vertical="center"/>
    </xf>
    <xf numFmtId="0" fontId="27" fillId="0" borderId="1" xfId="18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8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  <protection locked="0"/>
    </xf>
    <xf numFmtId="0" fontId="12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3" fontId="18" fillId="0" borderId="1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</xf>
    <xf numFmtId="10" fontId="18" fillId="0" borderId="1" xfId="0" applyNumberFormat="1" applyFont="1" applyFill="1" applyBorder="1" applyAlignment="1" applyProtection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  <protection locked="0"/>
    </xf>
    <xf numFmtId="10" fontId="18" fillId="0" borderId="1" xfId="0" applyNumberFormat="1" applyFont="1" applyFill="1" applyBorder="1" applyAlignment="1">
      <alignment horizontal="right" vertical="center"/>
    </xf>
    <xf numFmtId="0" fontId="34" fillId="0" borderId="0" xfId="0" applyFont="1" applyFill="1" applyAlignment="1" applyProtection="1">
      <alignment vertical="center" wrapText="1"/>
      <protection locked="0"/>
    </xf>
    <xf numFmtId="0" fontId="36" fillId="0" borderId="0" xfId="0" applyFont="1" applyFill="1" applyAlignment="1">
      <alignment horizontal="right" vertical="center"/>
    </xf>
    <xf numFmtId="0" fontId="37" fillId="0" borderId="0" xfId="0" applyFont="1" applyFill="1" applyAlignment="1">
      <alignment horizontal="right" vertical="center"/>
    </xf>
    <xf numFmtId="0" fontId="38" fillId="4" borderId="1" xfId="16" applyFont="1" applyFill="1" applyBorder="1" applyAlignment="1" applyProtection="1">
      <alignment horizontal="center" vertical="center" wrapText="1"/>
      <protection locked="0"/>
    </xf>
    <xf numFmtId="0" fontId="38" fillId="4" borderId="1" xfId="0" applyFont="1" applyFill="1" applyBorder="1" applyAlignment="1">
      <alignment horizontal="center" vertical="center" textRotation="90"/>
    </xf>
    <xf numFmtId="0" fontId="38" fillId="4" borderId="1" xfId="0" applyFont="1" applyFill="1" applyBorder="1" applyAlignment="1">
      <alignment horizontal="center" vertical="center" textRotation="90" wrapText="1"/>
    </xf>
    <xf numFmtId="49" fontId="39" fillId="4" borderId="1" xfId="16" applyNumberFormat="1" applyFont="1" applyFill="1" applyBorder="1" applyAlignment="1" applyProtection="1">
      <alignment horizontal="center" vertical="center" wrapText="1"/>
      <protection locked="0"/>
    </xf>
    <xf numFmtId="3" fontId="24" fillId="4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 applyProtection="1">
      <alignment horizontal="right" vertical="center"/>
      <protection locked="0"/>
    </xf>
    <xf numFmtId="3" fontId="30" fillId="0" borderId="1" xfId="0" applyNumberFormat="1" applyFont="1" applyFill="1" applyBorder="1" applyAlignment="1">
      <alignment horizontal="right" vertical="center"/>
    </xf>
    <xf numFmtId="3" fontId="15" fillId="4" borderId="1" xfId="0" applyNumberFormat="1" applyFont="1" applyFill="1" applyBorder="1" applyAlignment="1" applyProtection="1">
      <alignment horizontal="right" vertical="center"/>
      <protection locked="0"/>
    </xf>
    <xf numFmtId="0" fontId="12" fillId="4" borderId="1" xfId="18" applyFont="1" applyFill="1" applyBorder="1" applyAlignment="1" applyProtection="1">
      <alignment horizontal="right" vertical="center" wrapText="1"/>
    </xf>
    <xf numFmtId="3" fontId="12" fillId="0" borderId="0" xfId="0" applyNumberFormat="1" applyFont="1" applyFill="1" applyAlignment="1">
      <alignment horizontal="center" vertical="center"/>
    </xf>
    <xf numFmtId="0" fontId="40" fillId="0" borderId="0" xfId="0" applyFont="1"/>
    <xf numFmtId="3" fontId="34" fillId="0" borderId="0" xfId="0" applyNumberFormat="1" applyFont="1" applyFill="1" applyAlignment="1" applyProtection="1">
      <alignment vertical="center" wrapText="1"/>
      <protection locked="0"/>
    </xf>
    <xf numFmtId="3" fontId="36" fillId="0" borderId="0" xfId="0" applyNumberFormat="1" applyFont="1" applyFill="1" applyAlignment="1">
      <alignment horizontal="right" vertical="center"/>
    </xf>
    <xf numFmtId="3" fontId="38" fillId="4" borderId="1" xfId="0" applyNumberFormat="1" applyFont="1" applyFill="1" applyBorder="1" applyAlignment="1">
      <alignment horizontal="center" vertical="center" textRotation="90"/>
    </xf>
    <xf numFmtId="3" fontId="39" fillId="4" borderId="1" xfId="16" applyNumberFormat="1" applyFont="1" applyFill="1" applyBorder="1" applyAlignment="1" applyProtection="1">
      <alignment horizontal="center" vertical="center" wrapText="1"/>
      <protection locked="0"/>
    </xf>
    <xf numFmtId="3" fontId="12" fillId="4" borderId="1" xfId="18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3" fontId="24" fillId="0" borderId="1" xfId="0" applyNumberFormat="1" applyFont="1" applyFill="1" applyBorder="1" applyAlignment="1">
      <alignment horizontal="right" vertical="center"/>
    </xf>
    <xf numFmtId="0" fontId="24" fillId="4" borderId="1" xfId="16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Fill="1" applyAlignment="1" applyProtection="1">
      <alignment vertical="center"/>
      <protection locked="0"/>
    </xf>
    <xf numFmtId="49" fontId="42" fillId="4" borderId="1" xfId="16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15" fillId="4" borderId="1" xfId="18" applyFont="1" applyFill="1" applyBorder="1" applyAlignment="1" applyProtection="1">
      <alignment horizontal="left" vertical="center" wrapText="1" indent="1"/>
    </xf>
    <xf numFmtId="0" fontId="13" fillId="0" borderId="1" xfId="18" applyFont="1" applyFill="1" applyBorder="1" applyAlignment="1" applyProtection="1">
      <alignment horizontal="left" vertical="center" wrapText="1" indent="1"/>
    </xf>
    <xf numFmtId="0" fontId="0" fillId="0" borderId="0" xfId="0" applyFill="1"/>
    <xf numFmtId="0" fontId="43" fillId="0" borderId="1" xfId="0" applyFont="1" applyBorder="1" applyAlignment="1">
      <alignment vertical="center"/>
    </xf>
    <xf numFmtId="3" fontId="43" fillId="0" borderId="1" xfId="0" applyNumberFormat="1" applyFont="1" applyBorder="1" applyAlignment="1">
      <alignment vertical="center" wrapText="1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 wrapText="1"/>
    </xf>
    <xf numFmtId="0" fontId="15" fillId="2" borderId="0" xfId="0" applyFont="1" applyFill="1" applyAlignment="1" applyProtection="1">
      <alignment vertical="center"/>
      <protection locked="0"/>
    </xf>
    <xf numFmtId="0" fontId="27" fillId="0" borderId="1" xfId="16" applyFont="1" applyFill="1" applyBorder="1" applyAlignment="1" applyProtection="1">
      <alignment horizontal="left" vertical="center" wrapText="1" indent="2"/>
    </xf>
    <xf numFmtId="3" fontId="27" fillId="0" borderId="1" xfId="0" applyNumberFormat="1" applyFont="1" applyFill="1" applyBorder="1" applyAlignment="1">
      <alignment horizontal="right" vertical="center"/>
    </xf>
    <xf numFmtId="0" fontId="27" fillId="0" borderId="0" xfId="0" applyFont="1"/>
    <xf numFmtId="0" fontId="18" fillId="4" borderId="1" xfId="16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>
      <alignment horizontal="center" vertical="center" textRotation="90"/>
    </xf>
    <xf numFmtId="2" fontId="0" fillId="0" borderId="0" xfId="0" applyNumberFormat="1"/>
    <xf numFmtId="4" fontId="40" fillId="0" borderId="0" xfId="0" applyNumberFormat="1" applyFont="1"/>
    <xf numFmtId="4" fontId="0" fillId="0" borderId="0" xfId="0" applyNumberFormat="1"/>
    <xf numFmtId="0" fontId="47" fillId="0" borderId="1" xfId="18" applyFont="1" applyFill="1" applyBorder="1" applyAlignment="1" applyProtection="1">
      <alignment horizontal="left" vertical="center" wrapText="1" indent="3"/>
    </xf>
    <xf numFmtId="0" fontId="48" fillId="0" borderId="1" xfId="17" applyFont="1" applyFill="1" applyBorder="1" applyAlignment="1" applyProtection="1">
      <alignment horizontal="left" vertical="center" wrapText="1" indent="3"/>
    </xf>
    <xf numFmtId="0" fontId="48" fillId="0" borderId="1" xfId="17" applyFont="1" applyFill="1" applyBorder="1" applyAlignment="1" applyProtection="1">
      <alignment horizontal="left" vertical="center" wrapText="1" indent="4"/>
    </xf>
    <xf numFmtId="0" fontId="6" fillId="3" borderId="1" xfId="18" applyFont="1" applyFill="1" applyBorder="1" applyAlignment="1" applyProtection="1">
      <alignment horizontal="left" vertical="center" wrapText="1"/>
      <protection locked="0"/>
    </xf>
    <xf numFmtId="0" fontId="26" fillId="0" borderId="1" xfId="18" applyFont="1" applyFill="1" applyBorder="1" applyAlignment="1" applyProtection="1">
      <alignment horizontal="left" vertical="center" wrapText="1"/>
    </xf>
    <xf numFmtId="0" fontId="47" fillId="0" borderId="1" xfId="18" applyFont="1" applyFill="1" applyBorder="1" applyAlignment="1" applyProtection="1">
      <alignment horizontal="left" vertical="center" wrapText="1"/>
    </xf>
    <xf numFmtId="0" fontId="27" fillId="0" borderId="1" xfId="18" applyFont="1" applyFill="1" applyBorder="1" applyAlignment="1" applyProtection="1">
      <alignment horizontal="left" vertical="center" wrapText="1"/>
    </xf>
    <xf numFmtId="0" fontId="28" fillId="0" borderId="1" xfId="18" applyFont="1" applyFill="1" applyBorder="1" applyAlignment="1" applyProtection="1">
      <alignment horizontal="left" vertical="center" wrapText="1"/>
    </xf>
    <xf numFmtId="0" fontId="12" fillId="0" borderId="1" xfId="18" applyFont="1" applyFill="1" applyBorder="1" applyAlignment="1" applyProtection="1">
      <alignment horizontal="left" vertical="center" wrapText="1"/>
    </xf>
    <xf numFmtId="0" fontId="13" fillId="3" borderId="1" xfId="18" applyFont="1" applyFill="1" applyBorder="1" applyAlignment="1" applyProtection="1">
      <alignment horizontal="left" vertical="center" wrapText="1"/>
      <protection locked="0"/>
    </xf>
    <xf numFmtId="0" fontId="48" fillId="0" borderId="1" xfId="18" applyFont="1" applyFill="1" applyBorder="1" applyAlignment="1" applyProtection="1">
      <alignment horizontal="left" vertical="center" wrapText="1"/>
    </xf>
    <xf numFmtId="0" fontId="13" fillId="3" borderId="1" xfId="18" applyFont="1" applyFill="1" applyBorder="1" applyAlignment="1" applyProtection="1">
      <alignment horizontal="left" vertical="center" wrapText="1"/>
    </xf>
    <xf numFmtId="0" fontId="6" fillId="4" borderId="1" xfId="18" applyFont="1" applyFill="1" applyBorder="1" applyAlignment="1" applyProtection="1">
      <alignment horizontal="left" vertical="center" wrapText="1"/>
      <protection locked="0"/>
    </xf>
    <xf numFmtId="0" fontId="13" fillId="0" borderId="1" xfId="18" applyFont="1" applyFill="1" applyBorder="1" applyAlignment="1" applyProtection="1">
      <alignment horizontal="left" vertical="center" wrapText="1"/>
      <protection locked="0"/>
    </xf>
    <xf numFmtId="0" fontId="13" fillId="0" borderId="1" xfId="18" applyFont="1" applyFill="1" applyBorder="1" applyAlignment="1" applyProtection="1">
      <alignment horizontal="left" vertical="center" wrapText="1"/>
    </xf>
    <xf numFmtId="0" fontId="13" fillId="0" borderId="1" xfId="18" quotePrefix="1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 indent="2"/>
    </xf>
    <xf numFmtId="0" fontId="49" fillId="0" borderId="1" xfId="18" applyFont="1" applyFill="1" applyBorder="1" applyAlignment="1" applyProtection="1">
      <alignment horizontal="left" vertical="center" wrapText="1"/>
    </xf>
    <xf numFmtId="0" fontId="49" fillId="0" borderId="1" xfId="18" applyFont="1" applyFill="1" applyBorder="1" applyAlignment="1" applyProtection="1">
      <alignment horizontal="left" vertical="center" wrapText="1" indent="3"/>
    </xf>
    <xf numFmtId="0" fontId="15" fillId="0" borderId="1" xfId="18" applyFont="1" applyFill="1" applyBorder="1" applyAlignment="1" applyProtection="1">
      <alignment horizontal="left" vertical="center" wrapText="1"/>
    </xf>
    <xf numFmtId="0" fontId="15" fillId="0" borderId="1" xfId="18" applyFont="1" applyFill="1" applyBorder="1" applyAlignment="1" applyProtection="1">
      <alignment horizontal="left" vertical="center" wrapText="1" indent="2"/>
    </xf>
    <xf numFmtId="0" fontId="6" fillId="0" borderId="1" xfId="16" applyFont="1" applyFill="1" applyBorder="1" applyAlignment="1" applyProtection="1">
      <alignment horizontal="left" vertical="center" wrapText="1" indent="2"/>
    </xf>
    <xf numFmtId="0" fontId="37" fillId="0" borderId="1" xfId="18" applyFont="1" applyFill="1" applyBorder="1" applyAlignment="1" applyProtection="1">
      <alignment horizontal="left" vertical="center" wrapText="1"/>
    </xf>
    <xf numFmtId="0" fontId="37" fillId="0" borderId="1" xfId="17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4"/>
    </xf>
    <xf numFmtId="0" fontId="24" fillId="0" borderId="0" xfId="0" applyFont="1" applyFill="1" applyBorder="1" applyAlignment="1" applyProtection="1">
      <alignment vertical="center"/>
      <protection locked="0"/>
    </xf>
    <xf numFmtId="168" fontId="46" fillId="0" borderId="0" xfId="19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0" fontId="14" fillId="0" borderId="1" xfId="0" applyNumberFormat="1" applyFont="1" applyFill="1" applyBorder="1" applyAlignment="1">
      <alignment horizontal="right" vertical="center"/>
    </xf>
    <xf numFmtId="0" fontId="25" fillId="0" borderId="1" xfId="17" applyFont="1" applyFill="1" applyBorder="1" applyAlignment="1" applyProtection="1">
      <alignment horizontal="left" vertical="center" wrapText="1"/>
    </xf>
    <xf numFmtId="0" fontId="25" fillId="0" borderId="1" xfId="17" applyFont="1" applyFill="1" applyBorder="1" applyAlignment="1" applyProtection="1">
      <alignment horizontal="left" vertical="center" wrapText="1" indent="1"/>
    </xf>
    <xf numFmtId="0" fontId="11" fillId="4" borderId="1" xfId="16" applyFont="1" applyFill="1" applyBorder="1" applyAlignment="1" applyProtection="1">
      <alignment horizontal="center" vertical="center" wrapText="1"/>
    </xf>
    <xf numFmtId="3" fontId="35" fillId="4" borderId="3" xfId="0" applyNumberFormat="1" applyFont="1" applyFill="1" applyBorder="1" applyAlignment="1" applyProtection="1">
      <alignment horizontal="center" vertical="center" wrapText="1"/>
      <protection locked="0"/>
    </xf>
    <xf numFmtId="3" fontId="3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" xfId="16" applyNumberFormat="1" applyFont="1" applyFill="1" applyBorder="1" applyAlignment="1" applyProtection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0" fontId="25" fillId="4" borderId="1" xfId="18" applyFont="1" applyFill="1" applyBorder="1" applyAlignment="1" applyProtection="1">
      <alignment horizontal="left" vertical="center" wrapText="1"/>
    </xf>
    <xf numFmtId="0" fontId="25" fillId="4" borderId="1" xfId="18" applyFont="1" applyFill="1" applyBorder="1" applyAlignment="1" applyProtection="1">
      <alignment horizontal="left" vertical="center" wrapText="1" indent="1"/>
    </xf>
    <xf numFmtId="3" fontId="14" fillId="4" borderId="1" xfId="0" applyNumberFormat="1" applyFont="1" applyFill="1" applyBorder="1" applyAlignment="1">
      <alignment horizontal="right" vertical="center"/>
    </xf>
    <xf numFmtId="10" fontId="14" fillId="4" borderId="1" xfId="0" applyNumberFormat="1" applyFont="1" applyFill="1" applyBorder="1" applyAlignment="1">
      <alignment horizontal="right" vertical="center"/>
    </xf>
    <xf numFmtId="0" fontId="25" fillId="4" borderId="1" xfId="18" quotePrefix="1" applyFont="1" applyFill="1" applyBorder="1" applyAlignment="1" applyProtection="1">
      <alignment horizontal="left" vertical="center" wrapText="1"/>
    </xf>
    <xf numFmtId="0" fontId="25" fillId="4" borderId="1" xfId="18" quotePrefix="1" applyFont="1" applyFill="1" applyBorder="1" applyAlignment="1" applyProtection="1">
      <alignment horizontal="left" vertical="center" wrapText="1" indent="1"/>
    </xf>
    <xf numFmtId="3" fontId="14" fillId="4" borderId="1" xfId="0" applyNumberFormat="1" applyFont="1" applyFill="1" applyBorder="1" applyAlignment="1" applyProtection="1">
      <alignment vertical="center"/>
      <protection locked="0"/>
    </xf>
    <xf numFmtId="3" fontId="14" fillId="4" borderId="1" xfId="0" applyNumberFormat="1" applyFont="1" applyFill="1" applyBorder="1" applyAlignment="1" applyProtection="1">
      <alignment horizontal="right" vertical="center"/>
      <protection locked="0"/>
    </xf>
    <xf numFmtId="10" fontId="14" fillId="4" borderId="1" xfId="0" applyNumberFormat="1" applyFont="1" applyFill="1" applyBorder="1" applyAlignment="1" applyProtection="1">
      <alignment vertical="center"/>
      <protection locked="0"/>
    </xf>
    <xf numFmtId="0" fontId="12" fillId="4" borderId="1" xfId="18" applyFont="1" applyFill="1" applyBorder="1" applyAlignment="1" applyProtection="1">
      <alignment horizontal="left" vertical="center" wrapText="1"/>
    </xf>
    <xf numFmtId="0" fontId="13" fillId="4" borderId="1" xfId="18" applyFont="1" applyFill="1" applyBorder="1" applyAlignment="1" applyProtection="1">
      <alignment horizontal="left" vertical="center" wrapText="1" indent="2"/>
    </xf>
    <xf numFmtId="3" fontId="18" fillId="4" borderId="1" xfId="0" applyNumberFormat="1" applyFont="1" applyFill="1" applyBorder="1" applyAlignment="1">
      <alignment horizontal="right" vertical="center"/>
    </xf>
    <xf numFmtId="10" fontId="18" fillId="4" borderId="1" xfId="0" applyNumberFormat="1" applyFont="1" applyFill="1" applyBorder="1" applyAlignment="1">
      <alignment horizontal="right" vertical="center"/>
    </xf>
    <xf numFmtId="0" fontId="13" fillId="4" borderId="1" xfId="18" applyFont="1" applyFill="1" applyBorder="1" applyAlignment="1" applyProtection="1">
      <alignment horizontal="left" vertical="center" wrapText="1"/>
    </xf>
    <xf numFmtId="0" fontId="12" fillId="4" borderId="1" xfId="18" applyFont="1" applyFill="1" applyBorder="1" applyAlignment="1" applyProtection="1">
      <alignment horizontal="left" vertical="center" wrapText="1" indent="1"/>
    </xf>
    <xf numFmtId="0" fontId="25" fillId="4" borderId="1" xfId="17" applyFont="1" applyFill="1" applyBorder="1" applyAlignment="1" applyProtection="1">
      <alignment horizontal="left" vertical="center" wrapText="1"/>
    </xf>
    <xf numFmtId="0" fontId="25" fillId="4" borderId="1" xfId="17" applyFont="1" applyFill="1" applyBorder="1" applyAlignment="1" applyProtection="1">
      <alignment horizontal="left" vertical="center" wrapText="1" indent="1"/>
    </xf>
    <xf numFmtId="0" fontId="25" fillId="4" borderId="2" xfId="18" applyFont="1" applyFill="1" applyBorder="1" applyAlignment="1" applyProtection="1">
      <alignment horizontal="left" vertical="center" wrapText="1" indent="1"/>
    </xf>
    <xf numFmtId="3" fontId="19" fillId="4" borderId="1" xfId="0" applyNumberFormat="1" applyFont="1" applyFill="1" applyBorder="1" applyAlignment="1">
      <alignment horizontal="right" vertical="center"/>
    </xf>
    <xf numFmtId="10" fontId="19" fillId="4" borderId="1" xfId="0" applyNumberFormat="1" applyFont="1" applyFill="1" applyBorder="1" applyAlignment="1">
      <alignment horizontal="right" vertical="center"/>
    </xf>
    <xf numFmtId="0" fontId="25" fillId="4" borderId="2" xfId="17" applyFont="1" applyFill="1" applyBorder="1" applyAlignment="1" applyProtection="1">
      <alignment horizontal="left" vertical="center" wrapText="1" indent="1"/>
    </xf>
    <xf numFmtId="3" fontId="14" fillId="4" borderId="1" xfId="0" applyNumberFormat="1" applyFont="1" applyFill="1" applyBorder="1" applyAlignment="1">
      <alignment vertical="center"/>
    </xf>
    <xf numFmtId="0" fontId="13" fillId="4" borderId="1" xfId="18" applyFont="1" applyFill="1" applyBorder="1" applyAlignment="1" applyProtection="1">
      <alignment horizontal="left" vertical="center" wrapText="1"/>
      <protection locked="0"/>
    </xf>
    <xf numFmtId="0" fontId="13" fillId="4" borderId="1" xfId="18" applyFont="1" applyFill="1" applyBorder="1" applyAlignment="1" applyProtection="1">
      <alignment horizontal="left" vertical="center" wrapText="1" indent="1"/>
    </xf>
    <xf numFmtId="10" fontId="14" fillId="4" borderId="1" xfId="0" applyNumberFormat="1" applyFont="1" applyFill="1" applyBorder="1" applyAlignment="1" applyProtection="1">
      <alignment horizontal="right" vertical="center"/>
      <protection locked="0"/>
    </xf>
    <xf numFmtId="3" fontId="14" fillId="4" borderId="1" xfId="0" applyNumberFormat="1" applyFont="1" applyFill="1" applyBorder="1" applyAlignment="1" applyProtection="1">
      <alignment vertical="center"/>
    </xf>
    <xf numFmtId="10" fontId="14" fillId="4" borderId="1" xfId="0" applyNumberFormat="1" applyFont="1" applyFill="1" applyBorder="1" applyAlignment="1" applyProtection="1">
      <alignment horizontal="right" vertical="center"/>
    </xf>
    <xf numFmtId="0" fontId="21" fillId="5" borderId="0" xfId="0" applyFont="1" applyFill="1"/>
    <xf numFmtId="0" fontId="50" fillId="5" borderId="1" xfId="18" applyFont="1" applyFill="1" applyBorder="1" applyAlignment="1" applyProtection="1">
      <alignment horizontal="left" vertical="center" wrapText="1" indent="1"/>
    </xf>
    <xf numFmtId="0" fontId="35" fillId="0" borderId="0" xfId="0" applyFont="1" applyFill="1" applyAlignment="1">
      <alignment horizontal="right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 applyAlignment="1" applyProtection="1">
      <alignment horizontal="left" vertical="center" wrapText="1"/>
      <protection locked="0"/>
    </xf>
    <xf numFmtId="0" fontId="34" fillId="0" borderId="0" xfId="0" applyFont="1" applyFill="1" applyAlignment="1" applyProtection="1">
      <alignment horizontal="center" vertical="center"/>
      <protection locked="0"/>
    </xf>
  </cellXfs>
  <cellStyles count="21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Dziesiętny 2" xfId="13"/>
    <cellStyle name="Normal_laroux" xfId="14"/>
    <cellStyle name="normální_laroux" xfId="15"/>
    <cellStyle name="Normalny" xfId="0" builtinId="0"/>
    <cellStyle name="Normalny_03PlFin_0403" xfId="16"/>
    <cellStyle name="Normalny_WfMgkr1" xfId="17"/>
    <cellStyle name="Normalny_Wzór z 09.10.2001" xfId="18"/>
    <cellStyle name="Procentowy" xfId="19" builtinId="5"/>
    <cellStyle name="Styl 1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arzyna.sadowska/Ustawienia%20lokalne/Temporary%20Internet%20Files/OLK78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showGridLines="0" tabSelected="1" zoomScale="55" zoomScaleNormal="55" zoomScaleSheetLayoutView="55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A2" sqref="A2:B2"/>
    </sheetView>
  </sheetViews>
  <sheetFormatPr defaultRowHeight="12.75" x14ac:dyDescent="0.2"/>
  <cols>
    <col min="1" max="1" width="10.42578125" style="13" customWidth="1"/>
    <col min="2" max="2" width="125.85546875" style="13" customWidth="1"/>
    <col min="3" max="3" width="26.7109375" style="4" customWidth="1"/>
    <col min="4" max="4" width="26.85546875" style="4" customWidth="1"/>
    <col min="5" max="6" width="20.7109375" style="4" customWidth="1"/>
    <col min="7" max="7" width="9.140625" style="4"/>
    <col min="8" max="8" width="0" style="4" hidden="1" customWidth="1"/>
    <col min="9" max="10" width="25.7109375" style="4" hidden="1" customWidth="1"/>
    <col min="11" max="16384" width="9.140625" style="4"/>
  </cols>
  <sheetData>
    <row r="1" spans="1:9" s="32" customFormat="1" ht="58.5" customHeight="1" x14ac:dyDescent="0.35">
      <c r="A1" s="160" t="s">
        <v>249</v>
      </c>
      <c r="B1" s="160"/>
      <c r="C1" s="160"/>
      <c r="D1" s="160"/>
      <c r="E1" s="160"/>
      <c r="F1" s="160"/>
    </row>
    <row r="2" spans="1:9" s="25" customFormat="1" ht="35.25" customHeight="1" x14ac:dyDescent="0.3">
      <c r="A2" s="159" t="s">
        <v>168</v>
      </c>
      <c r="B2" s="159"/>
      <c r="C2" s="41"/>
    </row>
    <row r="3" spans="1:9" s="7" customFormat="1" ht="36" customHeight="1" x14ac:dyDescent="0.25">
      <c r="A3" s="5"/>
      <c r="B3" s="6"/>
      <c r="C3" s="40"/>
      <c r="D3" s="40"/>
      <c r="E3" s="40" t="s">
        <v>141</v>
      </c>
    </row>
    <row r="4" spans="1:9" s="120" customFormat="1" ht="65.099999999999994" customHeight="1" x14ac:dyDescent="0.2">
      <c r="A4" s="124" t="s">
        <v>118</v>
      </c>
      <c r="B4" s="124" t="s">
        <v>54</v>
      </c>
      <c r="C4" s="125" t="s">
        <v>230</v>
      </c>
      <c r="D4" s="125" t="s">
        <v>171</v>
      </c>
      <c r="E4" s="126" t="s">
        <v>172</v>
      </c>
      <c r="F4" s="126" t="s">
        <v>173</v>
      </c>
      <c r="I4" s="126" t="s">
        <v>244</v>
      </c>
    </row>
    <row r="5" spans="1:9" ht="19.5" customHeight="1" x14ac:dyDescent="0.2">
      <c r="A5" s="127">
        <v>1</v>
      </c>
      <c r="B5" s="128">
        <v>2</v>
      </c>
      <c r="C5" s="127">
        <v>3</v>
      </c>
      <c r="D5" s="128">
        <v>4</v>
      </c>
      <c r="E5" s="127">
        <v>5</v>
      </c>
      <c r="F5" s="128">
        <v>6</v>
      </c>
    </row>
    <row r="6" spans="1:9" s="11" customFormat="1" ht="63.75" customHeight="1" x14ac:dyDescent="0.4">
      <c r="A6" s="129">
        <v>1</v>
      </c>
      <c r="B6" s="130" t="s">
        <v>218</v>
      </c>
      <c r="C6" s="131">
        <f>C7+C8</f>
        <v>73780182</v>
      </c>
      <c r="D6" s="131">
        <f>D7+D8</f>
        <v>74746029</v>
      </c>
      <c r="E6" s="131">
        <f>IF(C6=D6,"-",D6-C6)</f>
        <v>965847</v>
      </c>
      <c r="F6" s="132">
        <f>IF(C6=0,"-",D6/C6)</f>
        <v>1.0130999999999999</v>
      </c>
      <c r="I6" s="131">
        <f>I7+I8</f>
        <v>74746029</v>
      </c>
    </row>
    <row r="7" spans="1:9" ht="30" customHeight="1" x14ac:dyDescent="0.2">
      <c r="A7" s="103" t="s">
        <v>77</v>
      </c>
      <c r="B7" s="28" t="s">
        <v>78</v>
      </c>
      <c r="C7" s="8">
        <v>70406150</v>
      </c>
      <c r="D7" s="8">
        <f>C7+I7-C7</f>
        <v>71435346</v>
      </c>
      <c r="E7" s="8">
        <f t="shared" ref="E7:E81" si="0">IF(C7=D7,"-",D7-C7)</f>
        <v>1029196</v>
      </c>
      <c r="F7" s="47">
        <f t="shared" ref="F7:F81" si="1">IF(C7=0,"-",D7/C7)</f>
        <v>1.0145999999999999</v>
      </c>
      <c r="I7" s="8">
        <v>71435346</v>
      </c>
    </row>
    <row r="8" spans="1:9" ht="30" customHeight="1" x14ac:dyDescent="0.2">
      <c r="A8" s="103" t="s">
        <v>79</v>
      </c>
      <c r="B8" s="28" t="s">
        <v>80</v>
      </c>
      <c r="C8" s="8">
        <v>3374032</v>
      </c>
      <c r="D8" s="8">
        <f>C8+I8-C8</f>
        <v>3310683</v>
      </c>
      <c r="E8" s="8">
        <f t="shared" si="0"/>
        <v>-63349</v>
      </c>
      <c r="F8" s="47">
        <f t="shared" si="1"/>
        <v>0.98119999999999996</v>
      </c>
      <c r="I8" s="8">
        <v>3310683</v>
      </c>
    </row>
    <row r="9" spans="1:9" s="11" customFormat="1" ht="38.25" customHeight="1" x14ac:dyDescent="0.4">
      <c r="A9" s="129">
        <v>2</v>
      </c>
      <c r="B9" s="130" t="s">
        <v>219</v>
      </c>
      <c r="C9" s="131">
        <f>C10+C11</f>
        <v>0</v>
      </c>
      <c r="D9" s="131">
        <f>D10+D11</f>
        <v>0</v>
      </c>
      <c r="E9" s="131" t="str">
        <f t="shared" si="0"/>
        <v>-</v>
      </c>
      <c r="F9" s="132" t="str">
        <f t="shared" si="1"/>
        <v>-</v>
      </c>
    </row>
    <row r="10" spans="1:9" ht="30" customHeight="1" x14ac:dyDescent="0.2">
      <c r="A10" s="103" t="s">
        <v>81</v>
      </c>
      <c r="B10" s="28" t="s">
        <v>82</v>
      </c>
      <c r="C10" s="8">
        <v>0</v>
      </c>
      <c r="D10" s="8">
        <f>C10</f>
        <v>0</v>
      </c>
      <c r="E10" s="8" t="str">
        <f t="shared" si="0"/>
        <v>-</v>
      </c>
      <c r="F10" s="47" t="str">
        <f t="shared" si="1"/>
        <v>-</v>
      </c>
    </row>
    <row r="11" spans="1:9" ht="30" customHeight="1" x14ac:dyDescent="0.2">
      <c r="A11" s="103" t="s">
        <v>83</v>
      </c>
      <c r="B11" s="28" t="s">
        <v>84</v>
      </c>
      <c r="C11" s="8">
        <v>0</v>
      </c>
      <c r="D11" s="8">
        <f>C11</f>
        <v>0</v>
      </c>
      <c r="E11" s="8" t="str">
        <f t="shared" si="0"/>
        <v>-</v>
      </c>
      <c r="F11" s="47" t="str">
        <f t="shared" si="1"/>
        <v>-</v>
      </c>
    </row>
    <row r="12" spans="1:9" s="11" customFormat="1" ht="39.75" customHeight="1" x14ac:dyDescent="0.4">
      <c r="A12" s="129">
        <v>3</v>
      </c>
      <c r="B12" s="130" t="s">
        <v>220</v>
      </c>
      <c r="C12" s="131">
        <f>C13+C14</f>
        <v>135000</v>
      </c>
      <c r="D12" s="131">
        <f>D13+D14</f>
        <v>135000</v>
      </c>
      <c r="E12" s="131" t="str">
        <f t="shared" si="0"/>
        <v>-</v>
      </c>
      <c r="F12" s="132">
        <f t="shared" si="1"/>
        <v>1</v>
      </c>
    </row>
    <row r="13" spans="1:9" ht="30" customHeight="1" x14ac:dyDescent="0.2">
      <c r="A13" s="103" t="s">
        <v>85</v>
      </c>
      <c r="B13" s="28" t="s">
        <v>78</v>
      </c>
      <c r="C13" s="8">
        <v>150000</v>
      </c>
      <c r="D13" s="8">
        <f>C13</f>
        <v>150000</v>
      </c>
      <c r="E13" s="8" t="str">
        <f t="shared" si="0"/>
        <v>-</v>
      </c>
      <c r="F13" s="47">
        <f t="shared" si="1"/>
        <v>1</v>
      </c>
    </row>
    <row r="14" spans="1:9" ht="30" customHeight="1" x14ac:dyDescent="0.2">
      <c r="A14" s="103" t="s">
        <v>86</v>
      </c>
      <c r="B14" s="28" t="s">
        <v>80</v>
      </c>
      <c r="C14" s="8">
        <v>-15000</v>
      </c>
      <c r="D14" s="8">
        <f>C14</f>
        <v>-15000</v>
      </c>
      <c r="E14" s="8" t="str">
        <f t="shared" si="0"/>
        <v>-</v>
      </c>
      <c r="F14" s="47">
        <f t="shared" si="1"/>
        <v>1</v>
      </c>
    </row>
    <row r="15" spans="1:9" s="11" customFormat="1" ht="39" customHeight="1" x14ac:dyDescent="0.4">
      <c r="A15" s="129">
        <v>4</v>
      </c>
      <c r="B15" s="130" t="s">
        <v>221</v>
      </c>
      <c r="C15" s="131">
        <f>C16+C17</f>
        <v>143836</v>
      </c>
      <c r="D15" s="131">
        <f>D16+D17</f>
        <v>145768</v>
      </c>
      <c r="E15" s="131">
        <f t="shared" si="0"/>
        <v>1932</v>
      </c>
      <c r="F15" s="132">
        <f t="shared" si="1"/>
        <v>1.0134000000000001</v>
      </c>
    </row>
    <row r="16" spans="1:9" ht="30" customHeight="1" x14ac:dyDescent="0.2">
      <c r="A16" s="104" t="s">
        <v>87</v>
      </c>
      <c r="B16" s="28" t="s">
        <v>88</v>
      </c>
      <c r="C16" s="8">
        <v>140812</v>
      </c>
      <c r="D16" s="8">
        <f>C16+I16-C16</f>
        <v>142871</v>
      </c>
      <c r="E16" s="8">
        <f t="shared" si="0"/>
        <v>2059</v>
      </c>
      <c r="F16" s="47">
        <f t="shared" si="1"/>
        <v>1.0145999999999999</v>
      </c>
      <c r="I16" s="8">
        <f>ROUND(I7*0.2%,0)</f>
        <v>142871</v>
      </c>
    </row>
    <row r="17" spans="1:10" ht="30" customHeight="1" x14ac:dyDescent="0.2">
      <c r="A17" s="104" t="s">
        <v>89</v>
      </c>
      <c r="B17" s="28" t="s">
        <v>90</v>
      </c>
      <c r="C17" s="8">
        <v>3024</v>
      </c>
      <c r="D17" s="8">
        <f>C17+I17-C17</f>
        <v>2897</v>
      </c>
      <c r="E17" s="8">
        <f t="shared" si="0"/>
        <v>-127</v>
      </c>
      <c r="F17" s="47">
        <f t="shared" si="1"/>
        <v>0.95799999999999996</v>
      </c>
      <c r="I17" s="8">
        <f>ROUND((I8-1862004)*0.2%,0)</f>
        <v>2897</v>
      </c>
      <c r="J17" s="157" t="s">
        <v>245</v>
      </c>
    </row>
    <row r="18" spans="1:10" s="11" customFormat="1" ht="39" customHeight="1" x14ac:dyDescent="0.4">
      <c r="A18" s="129">
        <v>5</v>
      </c>
      <c r="B18" s="130" t="s">
        <v>248</v>
      </c>
      <c r="C18" s="131">
        <v>25812</v>
      </c>
      <c r="D18" s="131">
        <f>C18+I18-C18-J18</f>
        <v>43848</v>
      </c>
      <c r="E18" s="131">
        <f t="shared" si="0"/>
        <v>18036</v>
      </c>
      <c r="F18" s="132">
        <f t="shared" si="1"/>
        <v>1.6987000000000001</v>
      </c>
      <c r="I18" s="8">
        <f>ROUND(I6*0.06%,0)</f>
        <v>44848</v>
      </c>
      <c r="J18" s="156">
        <v>1000</v>
      </c>
    </row>
    <row r="19" spans="1:10" s="11" customFormat="1" ht="63.75" customHeight="1" x14ac:dyDescent="0.4">
      <c r="A19" s="133" t="s">
        <v>130</v>
      </c>
      <c r="B19" s="134" t="s">
        <v>215</v>
      </c>
      <c r="C19" s="131">
        <f>(C6-C9+C12-C15-C18)+C20+C21+C22+C23</f>
        <v>77179956</v>
      </c>
      <c r="D19" s="131">
        <f>(D6-D9+D12-D15-D18)+D20+D21+D22+D23</f>
        <v>78125835</v>
      </c>
      <c r="E19" s="131">
        <f t="shared" si="0"/>
        <v>945879</v>
      </c>
      <c r="F19" s="132">
        <f t="shared" si="1"/>
        <v>1.0123</v>
      </c>
    </row>
    <row r="20" spans="1:10" ht="31.5" customHeight="1" x14ac:dyDescent="0.2">
      <c r="A20" s="103" t="s">
        <v>91</v>
      </c>
      <c r="B20" s="29" t="s">
        <v>92</v>
      </c>
      <c r="C20" s="8">
        <v>199555</v>
      </c>
      <c r="D20" s="8">
        <f>C20</f>
        <v>199555</v>
      </c>
      <c r="E20" s="8" t="str">
        <f t="shared" si="0"/>
        <v>-</v>
      </c>
      <c r="F20" s="47">
        <f t="shared" si="1"/>
        <v>1</v>
      </c>
    </row>
    <row r="21" spans="1:10" ht="31.5" customHeight="1" x14ac:dyDescent="0.2">
      <c r="A21" s="103" t="s">
        <v>93</v>
      </c>
      <c r="B21" s="29" t="s">
        <v>94</v>
      </c>
      <c r="C21" s="8">
        <v>0</v>
      </c>
      <c r="D21" s="8">
        <f>C21</f>
        <v>0</v>
      </c>
      <c r="E21" s="8" t="str">
        <f t="shared" si="0"/>
        <v>-</v>
      </c>
      <c r="F21" s="47" t="str">
        <f t="shared" si="1"/>
        <v>-</v>
      </c>
    </row>
    <row r="22" spans="1:10" ht="50.25" customHeight="1" x14ac:dyDescent="0.2">
      <c r="A22" s="103" t="s">
        <v>95</v>
      </c>
      <c r="B22" s="29" t="s">
        <v>242</v>
      </c>
      <c r="C22" s="8">
        <v>1333558</v>
      </c>
      <c r="D22" s="8">
        <f>C22</f>
        <v>1333558</v>
      </c>
      <c r="E22" s="8" t="str">
        <f t="shared" si="0"/>
        <v>-</v>
      </c>
      <c r="F22" s="47">
        <f t="shared" si="1"/>
        <v>1</v>
      </c>
    </row>
    <row r="23" spans="1:10" ht="31.5" customHeight="1" x14ac:dyDescent="0.2">
      <c r="A23" s="103" t="s">
        <v>96</v>
      </c>
      <c r="B23" s="30" t="s">
        <v>97</v>
      </c>
      <c r="C23" s="8">
        <v>1901309</v>
      </c>
      <c r="D23" s="8">
        <f>C23</f>
        <v>1901309</v>
      </c>
      <c r="E23" s="8" t="str">
        <f t="shared" si="0"/>
        <v>-</v>
      </c>
      <c r="F23" s="47">
        <f t="shared" si="1"/>
        <v>1</v>
      </c>
    </row>
    <row r="24" spans="1:10" s="11" customFormat="1" ht="36" customHeight="1" x14ac:dyDescent="0.4">
      <c r="A24" s="133" t="s">
        <v>131</v>
      </c>
      <c r="B24" s="134" t="s">
        <v>237</v>
      </c>
      <c r="C24" s="131">
        <f>C25+C26+C55+C56+C57</f>
        <v>76403192</v>
      </c>
      <c r="D24" s="131">
        <f>D25+D26+D55+D56+D57</f>
        <v>77349071</v>
      </c>
      <c r="E24" s="131">
        <f t="shared" si="0"/>
        <v>945879</v>
      </c>
      <c r="F24" s="132">
        <f t="shared" si="1"/>
        <v>1.0124</v>
      </c>
    </row>
    <row r="25" spans="1:10" s="11" customFormat="1" ht="36" customHeight="1" x14ac:dyDescent="0.4">
      <c r="A25" s="133" t="s">
        <v>98</v>
      </c>
      <c r="B25" s="134" t="s">
        <v>99</v>
      </c>
      <c r="C25" s="131">
        <v>737802</v>
      </c>
      <c r="D25" s="131">
        <f>C25</f>
        <v>737802</v>
      </c>
      <c r="E25" s="131" t="str">
        <f t="shared" si="0"/>
        <v>-</v>
      </c>
      <c r="F25" s="132">
        <f t="shared" si="1"/>
        <v>1</v>
      </c>
    </row>
    <row r="26" spans="1:10" s="11" customFormat="1" ht="36" customHeight="1" x14ac:dyDescent="0.4">
      <c r="A26" s="133" t="s">
        <v>0</v>
      </c>
      <c r="B26" s="134" t="s">
        <v>243</v>
      </c>
      <c r="C26" s="135">
        <f>C27+C28+C29+C34+C35+C36+C37+C38+C39+C40+C41+C42+C43+C44+C48+C49+C51+C52+C53+C54</f>
        <v>73199781</v>
      </c>
      <c r="D26" s="135">
        <f>D27+D28+D29+D34+D35+D36+D37+D38+D39+D40+D41+D42+D43+D44+D48+D49+D51+D52+D53+D54</f>
        <v>74145660</v>
      </c>
      <c r="E26" s="136">
        <f>IF(C26=D26,"-",D26-C26)</f>
        <v>945879</v>
      </c>
      <c r="F26" s="137">
        <f t="shared" si="1"/>
        <v>1.0128999999999999</v>
      </c>
    </row>
    <row r="27" spans="1:10" ht="30" customHeight="1" x14ac:dyDescent="0.2">
      <c r="A27" s="105" t="s">
        <v>1</v>
      </c>
      <c r="B27" s="106" t="s">
        <v>119</v>
      </c>
      <c r="C27" s="8">
        <f>CENTRALA!C7+'Razem OW'!C7</f>
        <v>9927337</v>
      </c>
      <c r="D27" s="8">
        <f>CENTRALA!D7+'Razem OW'!D7</f>
        <v>10053480</v>
      </c>
      <c r="E27" s="8">
        <f t="shared" si="0"/>
        <v>126143</v>
      </c>
      <c r="F27" s="47">
        <f t="shared" si="1"/>
        <v>1.0126999999999999</v>
      </c>
    </row>
    <row r="28" spans="1:10" ht="30" customHeight="1" x14ac:dyDescent="0.2">
      <c r="A28" s="105" t="s">
        <v>2</v>
      </c>
      <c r="B28" s="106" t="s">
        <v>120</v>
      </c>
      <c r="C28" s="8">
        <f>CENTRALA!C8+'Razem OW'!C8</f>
        <v>5834936</v>
      </c>
      <c r="D28" s="8">
        <f>CENTRALA!D8+'Razem OW'!D8</f>
        <v>5870636</v>
      </c>
      <c r="E28" s="8">
        <f>IF(C28=D28,"-",D28-C28)</f>
        <v>35700</v>
      </c>
      <c r="F28" s="47">
        <f t="shared" si="1"/>
        <v>1.0061</v>
      </c>
    </row>
    <row r="29" spans="1:10" ht="30" customHeight="1" x14ac:dyDescent="0.2">
      <c r="A29" s="105" t="s">
        <v>3</v>
      </c>
      <c r="B29" s="106" t="s">
        <v>117</v>
      </c>
      <c r="C29" s="8">
        <f>CENTRALA!C9+'Razem OW'!C9</f>
        <v>34974859</v>
      </c>
      <c r="D29" s="8">
        <f>CENTRALA!D9+'Razem OW'!D9</f>
        <v>35913462</v>
      </c>
      <c r="E29" s="8">
        <f t="shared" si="0"/>
        <v>938603</v>
      </c>
      <c r="F29" s="47">
        <f t="shared" si="1"/>
        <v>1.0267999999999999</v>
      </c>
    </row>
    <row r="30" spans="1:10" ht="30" customHeight="1" x14ac:dyDescent="0.2">
      <c r="A30" s="107" t="s">
        <v>56</v>
      </c>
      <c r="B30" s="108" t="s">
        <v>142</v>
      </c>
      <c r="C30" s="8">
        <f>CENTRALA!C10+'Razem OW'!C10</f>
        <v>3334130</v>
      </c>
      <c r="D30" s="8">
        <f>CENTRALA!D10+'Razem OW'!D10</f>
        <v>3338968</v>
      </c>
      <c r="E30" s="8">
        <f t="shared" si="0"/>
        <v>4838</v>
      </c>
      <c r="F30" s="47">
        <f t="shared" si="1"/>
        <v>1.0015000000000001</v>
      </c>
    </row>
    <row r="31" spans="1:10" ht="30" customHeight="1" x14ac:dyDescent="0.2">
      <c r="A31" s="107" t="s">
        <v>143</v>
      </c>
      <c r="B31" s="108" t="s">
        <v>146</v>
      </c>
      <c r="C31" s="8">
        <f>CENTRALA!C11+'Razem OW'!C11</f>
        <v>3034675</v>
      </c>
      <c r="D31" s="8">
        <f>CENTRALA!D11+'Razem OW'!D11</f>
        <v>3034675</v>
      </c>
      <c r="E31" s="8" t="str">
        <f t="shared" si="0"/>
        <v>-</v>
      </c>
      <c r="F31" s="47">
        <f t="shared" si="1"/>
        <v>1</v>
      </c>
    </row>
    <row r="32" spans="1:10" ht="30" customHeight="1" x14ac:dyDescent="0.2">
      <c r="A32" s="107" t="s">
        <v>144</v>
      </c>
      <c r="B32" s="108" t="s">
        <v>147</v>
      </c>
      <c r="C32" s="8">
        <f>CENTRALA!C12+'Razem OW'!C12</f>
        <v>1426071</v>
      </c>
      <c r="D32" s="8">
        <f>CENTRALA!D12+'Razem OW'!D12</f>
        <v>1426271</v>
      </c>
      <c r="E32" s="8">
        <f t="shared" si="0"/>
        <v>200</v>
      </c>
      <c r="F32" s="47">
        <f t="shared" si="1"/>
        <v>1.0001</v>
      </c>
    </row>
    <row r="33" spans="1:6" ht="30" customHeight="1" x14ac:dyDescent="0.2">
      <c r="A33" s="107" t="s">
        <v>145</v>
      </c>
      <c r="B33" s="108" t="s">
        <v>148</v>
      </c>
      <c r="C33" s="8">
        <f>CENTRALA!C13+'Razem OW'!C13</f>
        <v>643895</v>
      </c>
      <c r="D33" s="8">
        <f>CENTRALA!D13+'Razem OW'!D13</f>
        <v>643895</v>
      </c>
      <c r="E33" s="8" t="str">
        <f t="shared" si="0"/>
        <v>-</v>
      </c>
      <c r="F33" s="47">
        <f t="shared" si="1"/>
        <v>1</v>
      </c>
    </row>
    <row r="34" spans="1:6" ht="30" customHeight="1" x14ac:dyDescent="0.2">
      <c r="A34" s="105" t="s">
        <v>4</v>
      </c>
      <c r="B34" s="106" t="s">
        <v>125</v>
      </c>
      <c r="C34" s="8">
        <f>CENTRALA!C14+'Razem OW'!C14</f>
        <v>2680424</v>
      </c>
      <c r="D34" s="8">
        <f>CENTRALA!D14+'Razem OW'!D14</f>
        <v>2687924</v>
      </c>
      <c r="E34" s="8">
        <f t="shared" si="0"/>
        <v>7500</v>
      </c>
      <c r="F34" s="47">
        <f t="shared" si="1"/>
        <v>1.0027999999999999</v>
      </c>
    </row>
    <row r="35" spans="1:6" ht="30" customHeight="1" x14ac:dyDescent="0.2">
      <c r="A35" s="105" t="s">
        <v>5</v>
      </c>
      <c r="B35" s="106" t="s">
        <v>121</v>
      </c>
      <c r="C35" s="8">
        <f>CENTRALA!C15+'Razem OW'!C15</f>
        <v>2280663</v>
      </c>
      <c r="D35" s="8">
        <f>CENTRALA!D15+'Razem OW'!D15</f>
        <v>2291343</v>
      </c>
      <c r="E35" s="8">
        <f t="shared" si="0"/>
        <v>10680</v>
      </c>
      <c r="F35" s="47">
        <f t="shared" si="1"/>
        <v>1.0046999999999999</v>
      </c>
    </row>
    <row r="36" spans="1:6" ht="30" customHeight="1" x14ac:dyDescent="0.2">
      <c r="A36" s="105" t="s">
        <v>6</v>
      </c>
      <c r="B36" s="106" t="s">
        <v>127</v>
      </c>
      <c r="C36" s="8">
        <f>CENTRALA!C16+'Razem OW'!C16</f>
        <v>1399315</v>
      </c>
      <c r="D36" s="8">
        <f>CENTRALA!D16+'Razem OW'!D16</f>
        <v>1420685</v>
      </c>
      <c r="E36" s="8">
        <f t="shared" si="0"/>
        <v>21370</v>
      </c>
      <c r="F36" s="47">
        <f t="shared" si="1"/>
        <v>1.0153000000000001</v>
      </c>
    </row>
    <row r="37" spans="1:6" ht="30" customHeight="1" x14ac:dyDescent="0.2">
      <c r="A37" s="105" t="s">
        <v>7</v>
      </c>
      <c r="B37" s="106" t="s">
        <v>126</v>
      </c>
      <c r="C37" s="8">
        <f>CENTRALA!C17+'Razem OW'!C17</f>
        <v>647857</v>
      </c>
      <c r="D37" s="8">
        <f>CENTRALA!D17+'Razem OW'!D17</f>
        <v>662536</v>
      </c>
      <c r="E37" s="8">
        <f>IF(C37=D37,"-",D37-C37)</f>
        <v>14679</v>
      </c>
      <c r="F37" s="47">
        <f>IF(C37=0,"-",D37/C37)</f>
        <v>1.0226999999999999</v>
      </c>
    </row>
    <row r="38" spans="1:6" ht="30" customHeight="1" x14ac:dyDescent="0.2">
      <c r="A38" s="105" t="s">
        <v>8</v>
      </c>
      <c r="B38" s="106" t="s">
        <v>122</v>
      </c>
      <c r="C38" s="8">
        <f>CENTRALA!C18+'Razem OW'!C18</f>
        <v>1858886</v>
      </c>
      <c r="D38" s="8">
        <f>CENTRALA!D18+'Razem OW'!D18</f>
        <v>1858886</v>
      </c>
      <c r="E38" s="8" t="str">
        <f t="shared" si="0"/>
        <v>-</v>
      </c>
      <c r="F38" s="47">
        <f t="shared" si="1"/>
        <v>1</v>
      </c>
    </row>
    <row r="39" spans="1:6" ht="30" customHeight="1" x14ac:dyDescent="0.2">
      <c r="A39" s="105" t="s">
        <v>9</v>
      </c>
      <c r="B39" s="106" t="s">
        <v>123</v>
      </c>
      <c r="C39" s="8">
        <f>CENTRALA!C19+'Razem OW'!C19</f>
        <v>658591</v>
      </c>
      <c r="D39" s="8">
        <f>CENTRALA!D19+'Razem OW'!D19</f>
        <v>659091</v>
      </c>
      <c r="E39" s="8">
        <f t="shared" si="0"/>
        <v>500</v>
      </c>
      <c r="F39" s="47">
        <f t="shared" si="1"/>
        <v>1.0007999999999999</v>
      </c>
    </row>
    <row r="40" spans="1:6" ht="30" customHeight="1" x14ac:dyDescent="0.2">
      <c r="A40" s="105" t="s">
        <v>10</v>
      </c>
      <c r="B40" s="106" t="s">
        <v>128</v>
      </c>
      <c r="C40" s="8">
        <f>CENTRALA!C20+'Razem OW'!C20</f>
        <v>48765</v>
      </c>
      <c r="D40" s="8">
        <f>CENTRALA!D20+'Razem OW'!D20</f>
        <v>48765</v>
      </c>
      <c r="E40" s="8" t="str">
        <f t="shared" si="0"/>
        <v>-</v>
      </c>
      <c r="F40" s="47">
        <f t="shared" si="1"/>
        <v>1</v>
      </c>
    </row>
    <row r="41" spans="1:6" ht="40.5" x14ac:dyDescent="0.2">
      <c r="A41" s="105" t="s">
        <v>11</v>
      </c>
      <c r="B41" s="106" t="s">
        <v>124</v>
      </c>
      <c r="C41" s="8">
        <f>CENTRALA!C21+'Razem OW'!C21</f>
        <v>195103</v>
      </c>
      <c r="D41" s="8">
        <f>CENTRALA!D21+'Razem OW'!D21</f>
        <v>196103</v>
      </c>
      <c r="E41" s="8">
        <f t="shared" si="0"/>
        <v>1000</v>
      </c>
      <c r="F41" s="47">
        <f t="shared" si="1"/>
        <v>1.0051000000000001</v>
      </c>
    </row>
    <row r="42" spans="1:6" ht="30" customHeight="1" x14ac:dyDescent="0.2">
      <c r="A42" s="105" t="s">
        <v>12</v>
      </c>
      <c r="B42" s="106" t="s">
        <v>165</v>
      </c>
      <c r="C42" s="8">
        <f>CENTRALA!C22+'Razem OW'!C22</f>
        <v>2077259</v>
      </c>
      <c r="D42" s="8">
        <f>CENTRALA!D22+'Razem OW'!D22</f>
        <v>2091675</v>
      </c>
      <c r="E42" s="8">
        <f t="shared" si="0"/>
        <v>14416</v>
      </c>
      <c r="F42" s="47">
        <f t="shared" si="1"/>
        <v>1.0068999999999999</v>
      </c>
    </row>
    <row r="43" spans="1:6" ht="25.5" x14ac:dyDescent="0.2">
      <c r="A43" s="105" t="s">
        <v>13</v>
      </c>
      <c r="B43" s="106" t="s">
        <v>149</v>
      </c>
      <c r="C43" s="8">
        <f>CENTRALA!C23+'Razem OW'!C23</f>
        <v>990441</v>
      </c>
      <c r="D43" s="8">
        <f>CENTRALA!D23+'Razem OW'!D23</f>
        <v>1009941</v>
      </c>
      <c r="E43" s="8">
        <f t="shared" si="0"/>
        <v>19500</v>
      </c>
      <c r="F43" s="47">
        <f t="shared" si="1"/>
        <v>1.0197000000000001</v>
      </c>
    </row>
    <row r="44" spans="1:6" ht="30" customHeight="1" x14ac:dyDescent="0.2">
      <c r="A44" s="109" t="s">
        <v>14</v>
      </c>
      <c r="B44" s="110" t="s">
        <v>222</v>
      </c>
      <c r="C44" s="8">
        <f>CENTRALA!C24+'Razem OW'!C24</f>
        <v>8164845</v>
      </c>
      <c r="D44" s="8">
        <f>CENTRALA!D24+'Razem OW'!D24</f>
        <v>8164845</v>
      </c>
      <c r="E44" s="8" t="str">
        <f t="shared" si="0"/>
        <v>-</v>
      </c>
      <c r="F44" s="47">
        <f t="shared" si="1"/>
        <v>1</v>
      </c>
    </row>
    <row r="45" spans="1:6" ht="41.25" customHeight="1" x14ac:dyDescent="0.2">
      <c r="A45" s="107" t="s">
        <v>129</v>
      </c>
      <c r="B45" s="108" t="s">
        <v>151</v>
      </c>
      <c r="C45" s="8">
        <f>CENTRALA!C25+'Razem OW'!C25</f>
        <v>8131209</v>
      </c>
      <c r="D45" s="8">
        <f>CENTRALA!D25+'Razem OW'!D25</f>
        <v>8131209</v>
      </c>
      <c r="E45" s="8" t="str">
        <f t="shared" si="0"/>
        <v>-</v>
      </c>
      <c r="F45" s="47">
        <f t="shared" si="1"/>
        <v>1</v>
      </c>
    </row>
    <row r="46" spans="1:6" ht="30" customHeight="1" x14ac:dyDescent="0.2">
      <c r="A46" s="107" t="s">
        <v>150</v>
      </c>
      <c r="B46" s="108" t="s">
        <v>153</v>
      </c>
      <c r="C46" s="8">
        <f>CENTRALA!C26+'Razem OW'!C26</f>
        <v>20677</v>
      </c>
      <c r="D46" s="8">
        <f>CENTRALA!D26+'Razem OW'!D26</f>
        <v>20677</v>
      </c>
      <c r="E46" s="8" t="str">
        <f t="shared" si="0"/>
        <v>-</v>
      </c>
      <c r="F46" s="47">
        <f t="shared" si="1"/>
        <v>1</v>
      </c>
    </row>
    <row r="47" spans="1:6" ht="41.25" customHeight="1" x14ac:dyDescent="0.2">
      <c r="A47" s="107" t="s">
        <v>154</v>
      </c>
      <c r="B47" s="108" t="s">
        <v>152</v>
      </c>
      <c r="C47" s="8">
        <f>CENTRALA!C27+'Razem OW'!C27</f>
        <v>12959</v>
      </c>
      <c r="D47" s="8">
        <f>CENTRALA!D27+'Razem OW'!D27</f>
        <v>12959</v>
      </c>
      <c r="E47" s="8" t="str">
        <f t="shared" si="0"/>
        <v>-</v>
      </c>
      <c r="F47" s="47">
        <f t="shared" si="1"/>
        <v>1</v>
      </c>
    </row>
    <row r="48" spans="1:6" ht="31.5" customHeight="1" x14ac:dyDescent="0.2">
      <c r="A48" s="97" t="s">
        <v>15</v>
      </c>
      <c r="B48" s="111" t="s">
        <v>113</v>
      </c>
      <c r="C48" s="8">
        <f>CENTRALA!C28+'Razem OW'!C28</f>
        <v>545092</v>
      </c>
      <c r="D48" s="8">
        <f>CENTRALA!D28+'Razem OW'!D28</f>
        <v>545092</v>
      </c>
      <c r="E48" s="8" t="str">
        <f t="shared" si="0"/>
        <v>-</v>
      </c>
      <c r="F48" s="47">
        <f t="shared" si="1"/>
        <v>1</v>
      </c>
    </row>
    <row r="49" spans="1:6" ht="31.5" customHeight="1" x14ac:dyDescent="0.2">
      <c r="A49" s="97" t="s">
        <v>110</v>
      </c>
      <c r="B49" s="28" t="s">
        <v>155</v>
      </c>
      <c r="C49" s="8">
        <f>CENTRALA!C29+'Razem OW'!C29</f>
        <v>143811</v>
      </c>
      <c r="D49" s="8">
        <f>CENTRALA!D29+'Razem OW'!D29</f>
        <v>232378</v>
      </c>
      <c r="E49" s="8">
        <f t="shared" si="0"/>
        <v>88567</v>
      </c>
      <c r="F49" s="47">
        <f t="shared" si="1"/>
        <v>1.6158999999999999</v>
      </c>
    </row>
    <row r="50" spans="1:6" ht="30" customHeight="1" x14ac:dyDescent="0.2">
      <c r="A50" s="107" t="s">
        <v>156</v>
      </c>
      <c r="B50" s="108" t="s">
        <v>167</v>
      </c>
      <c r="C50" s="8">
        <f>CENTRALA!C30+'Razem OW'!C30</f>
        <v>0</v>
      </c>
      <c r="D50" s="8">
        <f>CENTRALA!D30+'Razem OW'!D30</f>
        <v>0</v>
      </c>
      <c r="E50" s="8" t="str">
        <f t="shared" si="0"/>
        <v>-</v>
      </c>
      <c r="F50" s="47" t="str">
        <f t="shared" si="1"/>
        <v>-</v>
      </c>
    </row>
    <row r="51" spans="1:6" ht="30" customHeight="1" x14ac:dyDescent="0.2">
      <c r="A51" s="97" t="s">
        <v>111</v>
      </c>
      <c r="B51" s="28" t="s">
        <v>114</v>
      </c>
      <c r="C51" s="8">
        <f>CENTRALA!C31+'Razem OW'!C31</f>
        <v>0</v>
      </c>
      <c r="D51" s="8">
        <f>CENTRALA!D31+'Razem OW'!D31</f>
        <v>0</v>
      </c>
      <c r="E51" s="8" t="str">
        <f t="shared" si="0"/>
        <v>-</v>
      </c>
      <c r="F51" s="47" t="str">
        <f t="shared" si="1"/>
        <v>-</v>
      </c>
    </row>
    <row r="52" spans="1:6" ht="30" customHeight="1" x14ac:dyDescent="0.2">
      <c r="A52" s="97" t="s">
        <v>112</v>
      </c>
      <c r="B52" s="28" t="s">
        <v>166</v>
      </c>
      <c r="C52" s="8">
        <f>CENTRALA!C32+'Razem OW'!C32</f>
        <v>326582</v>
      </c>
      <c r="D52" s="8">
        <f>CENTRALA!D32+'Razem OW'!D32</f>
        <v>339310</v>
      </c>
      <c r="E52" s="8">
        <f t="shared" si="0"/>
        <v>12728</v>
      </c>
      <c r="F52" s="47">
        <f t="shared" si="1"/>
        <v>1.0389999999999999</v>
      </c>
    </row>
    <row r="53" spans="1:6" ht="40.5" x14ac:dyDescent="0.2">
      <c r="A53" s="97" t="s">
        <v>223</v>
      </c>
      <c r="B53" s="28" t="s">
        <v>224</v>
      </c>
      <c r="C53" s="8">
        <f>CENTRALA!C33+'Razem OW'!C33</f>
        <v>395507</v>
      </c>
      <c r="D53" s="8">
        <f>CENTRALA!D33+'Razem OW'!D33</f>
        <v>50000</v>
      </c>
      <c r="E53" s="8">
        <f>IF(C53=D53,"-",D53-C53)</f>
        <v>-345507</v>
      </c>
      <c r="F53" s="47">
        <f>IF(C53=0,"-",D53/C53)</f>
        <v>0.12640000000000001</v>
      </c>
    </row>
    <row r="54" spans="1:6" ht="30" customHeight="1" x14ac:dyDescent="0.2">
      <c r="A54" s="97" t="s">
        <v>233</v>
      </c>
      <c r="B54" s="28" t="s">
        <v>234</v>
      </c>
      <c r="C54" s="8">
        <f>CENTRALA!C34+'Razem OW'!C34</f>
        <v>49508</v>
      </c>
      <c r="D54" s="8">
        <f>CENTRALA!D34+'Razem OW'!D34</f>
        <v>49508</v>
      </c>
      <c r="E54" s="8" t="str">
        <f>IF(C54=D54,"-",D54-C54)</f>
        <v>-</v>
      </c>
      <c r="F54" s="47">
        <f>IF(C54=0,"-",D54/C54)</f>
        <v>1</v>
      </c>
    </row>
    <row r="55" spans="1:6" s="11" customFormat="1" ht="30.75" customHeight="1" x14ac:dyDescent="0.4">
      <c r="A55" s="138" t="s">
        <v>58</v>
      </c>
      <c r="B55" s="139" t="s">
        <v>100</v>
      </c>
      <c r="C55" s="140">
        <f>CENTRALA!C35+'Razem OW'!C35</f>
        <v>0</v>
      </c>
      <c r="D55" s="140">
        <f>C55</f>
        <v>0</v>
      </c>
      <c r="E55" s="140" t="str">
        <f t="shared" si="0"/>
        <v>-</v>
      </c>
      <c r="F55" s="141" t="str">
        <f t="shared" si="1"/>
        <v>-</v>
      </c>
    </row>
    <row r="56" spans="1:6" s="11" customFormat="1" ht="30.75" customHeight="1" x14ac:dyDescent="0.4">
      <c r="A56" s="142" t="s">
        <v>57</v>
      </c>
      <c r="B56" s="139" t="s">
        <v>60</v>
      </c>
      <c r="C56" s="131">
        <f>CENTRALA!C36+'Razem OW'!C36</f>
        <v>1901309</v>
      </c>
      <c r="D56" s="131">
        <f>CENTRALA!D36+'Razem OW'!D36</f>
        <v>1901309</v>
      </c>
      <c r="E56" s="131" t="str">
        <f t="shared" si="0"/>
        <v>-</v>
      </c>
      <c r="F56" s="132">
        <f t="shared" si="1"/>
        <v>1</v>
      </c>
    </row>
    <row r="57" spans="1:6" s="11" customFormat="1" ht="60.75" x14ac:dyDescent="0.4">
      <c r="A57" s="142" t="s">
        <v>235</v>
      </c>
      <c r="B57" s="139" t="s">
        <v>236</v>
      </c>
      <c r="C57" s="131">
        <f>CENTRALA!C37+'Razem OW'!C37</f>
        <v>564300</v>
      </c>
      <c r="D57" s="131">
        <f>CENTRALA!D37+'Razem OW'!D37</f>
        <v>564300</v>
      </c>
      <c r="E57" s="131" t="str">
        <f t="shared" si="0"/>
        <v>-</v>
      </c>
      <c r="F57" s="132">
        <f t="shared" si="1"/>
        <v>1</v>
      </c>
    </row>
    <row r="58" spans="1:6" s="11" customFormat="1" ht="45.75" customHeight="1" x14ac:dyDescent="0.4">
      <c r="A58" s="142" t="s">
        <v>157</v>
      </c>
      <c r="B58" s="139" t="s">
        <v>158</v>
      </c>
      <c r="C58" s="131">
        <f>CENTRALA!C38+'Razem OW'!C38</f>
        <v>11843415</v>
      </c>
      <c r="D58" s="131">
        <f>CENTRALA!D38+'Razem OW'!D38</f>
        <v>11843415</v>
      </c>
      <c r="E58" s="131" t="str">
        <f>IF(C58=D58,"-",D58-C58)</f>
        <v>-</v>
      </c>
      <c r="F58" s="132">
        <f t="shared" si="1"/>
        <v>1</v>
      </c>
    </row>
    <row r="59" spans="1:6" s="11" customFormat="1" ht="33" customHeight="1" x14ac:dyDescent="0.4">
      <c r="A59" s="129" t="s">
        <v>132</v>
      </c>
      <c r="B59" s="130" t="s">
        <v>239</v>
      </c>
      <c r="C59" s="131">
        <f>C19-C24</f>
        <v>776764</v>
      </c>
      <c r="D59" s="131">
        <f>D19-D24</f>
        <v>776764</v>
      </c>
      <c r="E59" s="131" t="str">
        <f t="shared" si="0"/>
        <v>-</v>
      </c>
      <c r="F59" s="132">
        <f t="shared" si="1"/>
        <v>1</v>
      </c>
    </row>
    <row r="60" spans="1:6" s="11" customFormat="1" ht="33" customHeight="1" x14ac:dyDescent="0.4">
      <c r="A60" s="129" t="s">
        <v>133</v>
      </c>
      <c r="B60" s="130" t="s">
        <v>225</v>
      </c>
      <c r="C60" s="131">
        <f>C61+C62+C63+C71+C73+C78+C79+C80</f>
        <v>752867</v>
      </c>
      <c r="D60" s="131">
        <f>D61+D62+D63+D71+D73+D78+D79+D80</f>
        <v>752867</v>
      </c>
      <c r="E60" s="131" t="str">
        <f t="shared" si="0"/>
        <v>-</v>
      </c>
      <c r="F60" s="132">
        <f t="shared" si="1"/>
        <v>1</v>
      </c>
    </row>
    <row r="61" spans="1:6" ht="30" customHeight="1" x14ac:dyDescent="0.2">
      <c r="A61" s="97" t="s">
        <v>17</v>
      </c>
      <c r="B61" s="27" t="s">
        <v>18</v>
      </c>
      <c r="C61" s="8">
        <f>CENTRALA!C40+'Razem OW'!C40</f>
        <v>26086</v>
      </c>
      <c r="D61" s="8">
        <f>CENTRALA!D40+'Razem OW'!D40</f>
        <v>26086</v>
      </c>
      <c r="E61" s="8" t="str">
        <f t="shared" si="0"/>
        <v>-</v>
      </c>
      <c r="F61" s="47">
        <f t="shared" si="1"/>
        <v>1</v>
      </c>
    </row>
    <row r="62" spans="1:6" ht="30" customHeight="1" x14ac:dyDescent="0.2">
      <c r="A62" s="97" t="s">
        <v>19</v>
      </c>
      <c r="B62" s="27" t="s">
        <v>20</v>
      </c>
      <c r="C62" s="8">
        <f>CENTRALA!C41+'Razem OW'!C41</f>
        <v>185263</v>
      </c>
      <c r="D62" s="8">
        <f>CENTRALA!D41+'Razem OW'!D41</f>
        <v>185263</v>
      </c>
      <c r="E62" s="8" t="str">
        <f t="shared" si="0"/>
        <v>-</v>
      </c>
      <c r="F62" s="47">
        <f t="shared" si="1"/>
        <v>1</v>
      </c>
    </row>
    <row r="63" spans="1:6" ht="30" customHeight="1" x14ac:dyDescent="0.2">
      <c r="A63" s="97" t="s">
        <v>21</v>
      </c>
      <c r="B63" s="31" t="s">
        <v>226</v>
      </c>
      <c r="C63" s="8">
        <f>C64+C66+C67+C68+C69+C70</f>
        <v>4665</v>
      </c>
      <c r="D63" s="8">
        <f>D64+D66+D67+D68+D69+D70</f>
        <v>4665</v>
      </c>
      <c r="E63" s="8" t="str">
        <f t="shared" si="0"/>
        <v>-</v>
      </c>
      <c r="F63" s="47">
        <f t="shared" si="1"/>
        <v>1</v>
      </c>
    </row>
    <row r="64" spans="1:6" s="9" customFormat="1" ht="30" customHeight="1" x14ac:dyDescent="0.2">
      <c r="A64" s="112" t="s">
        <v>39</v>
      </c>
      <c r="B64" s="113" t="s">
        <v>32</v>
      </c>
      <c r="C64" s="8">
        <f>CENTRALA!C43+'Razem OW'!C43</f>
        <v>614</v>
      </c>
      <c r="D64" s="8">
        <f>CENTRALA!D43+'Razem OW'!D43</f>
        <v>614</v>
      </c>
      <c r="E64" s="8" t="str">
        <f t="shared" si="0"/>
        <v>-</v>
      </c>
      <c r="F64" s="47">
        <f t="shared" si="1"/>
        <v>1</v>
      </c>
    </row>
    <row r="65" spans="1:6" s="9" customFormat="1" ht="30" customHeight="1" x14ac:dyDescent="0.2">
      <c r="A65" s="112" t="s">
        <v>40</v>
      </c>
      <c r="B65" s="114" t="s">
        <v>33</v>
      </c>
      <c r="C65" s="8">
        <f>CENTRALA!C44+'Razem OW'!C44</f>
        <v>611</v>
      </c>
      <c r="D65" s="8">
        <f>CENTRALA!D44+'Razem OW'!D44</f>
        <v>611</v>
      </c>
      <c r="E65" s="8" t="str">
        <f t="shared" si="0"/>
        <v>-</v>
      </c>
      <c r="F65" s="47">
        <f t="shared" si="1"/>
        <v>1</v>
      </c>
    </row>
    <row r="66" spans="1:6" s="9" customFormat="1" ht="30" customHeight="1" x14ac:dyDescent="0.2">
      <c r="A66" s="112" t="s">
        <v>41</v>
      </c>
      <c r="B66" s="113" t="s">
        <v>34</v>
      </c>
      <c r="C66" s="8">
        <f>CENTRALA!C45+'Razem OW'!C45</f>
        <v>676</v>
      </c>
      <c r="D66" s="8">
        <f>CENTRALA!D45+'Razem OW'!D45</f>
        <v>676</v>
      </c>
      <c r="E66" s="8" t="str">
        <f t="shared" si="0"/>
        <v>-</v>
      </c>
      <c r="F66" s="47">
        <f t="shared" si="1"/>
        <v>1</v>
      </c>
    </row>
    <row r="67" spans="1:6" s="9" customFormat="1" ht="30" customHeight="1" x14ac:dyDescent="0.2">
      <c r="A67" s="112" t="s">
        <v>42</v>
      </c>
      <c r="B67" s="113" t="s">
        <v>35</v>
      </c>
      <c r="C67" s="8">
        <f>CENTRALA!C46+'Razem OW'!C46</f>
        <v>27</v>
      </c>
      <c r="D67" s="8">
        <f>CENTRALA!D46+'Razem OW'!D46</f>
        <v>27</v>
      </c>
      <c r="E67" s="8" t="str">
        <f t="shared" si="0"/>
        <v>-</v>
      </c>
      <c r="F67" s="47">
        <f t="shared" si="1"/>
        <v>1</v>
      </c>
    </row>
    <row r="68" spans="1:6" s="9" customFormat="1" ht="30" customHeight="1" x14ac:dyDescent="0.2">
      <c r="A68" s="112" t="s">
        <v>43</v>
      </c>
      <c r="B68" s="113" t="s">
        <v>36</v>
      </c>
      <c r="C68" s="8">
        <f>CENTRALA!C47+'Razem OW'!C47</f>
        <v>0</v>
      </c>
      <c r="D68" s="8">
        <f>CENTRALA!D47+'Razem OW'!D47</f>
        <v>0</v>
      </c>
      <c r="E68" s="8" t="str">
        <f t="shared" si="0"/>
        <v>-</v>
      </c>
      <c r="F68" s="47" t="str">
        <f t="shared" si="1"/>
        <v>-</v>
      </c>
    </row>
    <row r="69" spans="1:6" s="9" customFormat="1" ht="30" customHeight="1" x14ac:dyDescent="0.2">
      <c r="A69" s="112" t="s">
        <v>44</v>
      </c>
      <c r="B69" s="113" t="s">
        <v>37</v>
      </c>
      <c r="C69" s="8">
        <f>CENTRALA!C48+'Razem OW'!C48</f>
        <v>2960</v>
      </c>
      <c r="D69" s="8">
        <f>CENTRALA!D48+'Razem OW'!D48</f>
        <v>2960</v>
      </c>
      <c r="E69" s="8" t="str">
        <f t="shared" si="0"/>
        <v>-</v>
      </c>
      <c r="F69" s="47">
        <f t="shared" si="1"/>
        <v>1</v>
      </c>
    </row>
    <row r="70" spans="1:6" s="10" customFormat="1" ht="30" customHeight="1" x14ac:dyDescent="0.25">
      <c r="A70" s="112" t="s">
        <v>45</v>
      </c>
      <c r="B70" s="113" t="s">
        <v>38</v>
      </c>
      <c r="C70" s="8">
        <f>CENTRALA!C49+'Razem OW'!C49</f>
        <v>388</v>
      </c>
      <c r="D70" s="8">
        <f>CENTRALA!D49+'Razem OW'!D49</f>
        <v>388</v>
      </c>
      <c r="E70" s="8" t="str">
        <f t="shared" si="0"/>
        <v>-</v>
      </c>
      <c r="F70" s="47">
        <f t="shared" si="1"/>
        <v>1</v>
      </c>
    </row>
    <row r="71" spans="1:6" ht="30" customHeight="1" x14ac:dyDescent="0.2">
      <c r="A71" s="97" t="s">
        <v>22</v>
      </c>
      <c r="B71" s="27" t="s">
        <v>159</v>
      </c>
      <c r="C71" s="8">
        <f>CENTRALA!C50+'Razem OW'!C50</f>
        <v>340895</v>
      </c>
      <c r="D71" s="8">
        <f>CENTRALA!D50+'Razem OW'!D50</f>
        <v>340895</v>
      </c>
      <c r="E71" s="8" t="str">
        <f t="shared" si="0"/>
        <v>-</v>
      </c>
      <c r="F71" s="47">
        <f t="shared" si="1"/>
        <v>1</v>
      </c>
    </row>
    <row r="72" spans="1:6" ht="30" customHeight="1" x14ac:dyDescent="0.2">
      <c r="A72" s="112" t="s">
        <v>160</v>
      </c>
      <c r="B72" s="113" t="s">
        <v>161</v>
      </c>
      <c r="C72" s="8">
        <f>CENTRALA!C51+'Razem OW'!C51</f>
        <v>1471</v>
      </c>
      <c r="D72" s="8">
        <f>CENTRALA!D51+'Razem OW'!D51</f>
        <v>1471</v>
      </c>
      <c r="E72" s="8" t="str">
        <f t="shared" si="0"/>
        <v>-</v>
      </c>
      <c r="F72" s="47">
        <f t="shared" si="1"/>
        <v>1</v>
      </c>
    </row>
    <row r="73" spans="1:6" ht="30" customHeight="1" x14ac:dyDescent="0.2">
      <c r="A73" s="97" t="s">
        <v>23</v>
      </c>
      <c r="B73" s="31" t="s">
        <v>227</v>
      </c>
      <c r="C73" s="8">
        <f>SUM(C74:C77)</f>
        <v>77538</v>
      </c>
      <c r="D73" s="8">
        <f>SUM(D74:D77)</f>
        <v>77538</v>
      </c>
      <c r="E73" s="8" t="str">
        <f t="shared" si="0"/>
        <v>-</v>
      </c>
      <c r="F73" s="47">
        <f t="shared" si="1"/>
        <v>1</v>
      </c>
    </row>
    <row r="74" spans="1:6" s="9" customFormat="1" ht="30" customHeight="1" x14ac:dyDescent="0.2">
      <c r="A74" s="112" t="s">
        <v>50</v>
      </c>
      <c r="B74" s="113" t="s">
        <v>46</v>
      </c>
      <c r="C74" s="8">
        <f>CENTRALA!C53+'Razem OW'!C53</f>
        <v>58360</v>
      </c>
      <c r="D74" s="8">
        <f>CENTRALA!D53+'Razem OW'!D53</f>
        <v>58360</v>
      </c>
      <c r="E74" s="8" t="str">
        <f t="shared" si="0"/>
        <v>-</v>
      </c>
      <c r="F74" s="47">
        <f t="shared" si="1"/>
        <v>1</v>
      </c>
    </row>
    <row r="75" spans="1:6" s="9" customFormat="1" ht="30" customHeight="1" x14ac:dyDescent="0.2">
      <c r="A75" s="112" t="s">
        <v>51</v>
      </c>
      <c r="B75" s="113" t="s">
        <v>47</v>
      </c>
      <c r="C75" s="8">
        <f>CENTRALA!C54+'Razem OW'!C54</f>
        <v>8178</v>
      </c>
      <c r="D75" s="8">
        <f>CENTRALA!D54+'Razem OW'!D54</f>
        <v>8178</v>
      </c>
      <c r="E75" s="8" t="str">
        <f t="shared" si="0"/>
        <v>-</v>
      </c>
      <c r="F75" s="47">
        <f t="shared" si="1"/>
        <v>1</v>
      </c>
    </row>
    <row r="76" spans="1:6" s="9" customFormat="1" ht="30" customHeight="1" x14ac:dyDescent="0.2">
      <c r="A76" s="112" t="s">
        <v>52</v>
      </c>
      <c r="B76" s="113" t="s">
        <v>48</v>
      </c>
      <c r="C76" s="8">
        <f>CENTRALA!C55+'Razem OW'!C55</f>
        <v>0</v>
      </c>
      <c r="D76" s="8">
        <f>CENTRALA!D55+'Razem OW'!D55</f>
        <v>0</v>
      </c>
      <c r="E76" s="8" t="str">
        <f t="shared" si="0"/>
        <v>-</v>
      </c>
      <c r="F76" s="47" t="str">
        <f t="shared" si="1"/>
        <v>-</v>
      </c>
    </row>
    <row r="77" spans="1:6" s="9" customFormat="1" ht="30" customHeight="1" x14ac:dyDescent="0.2">
      <c r="A77" s="112" t="s">
        <v>53</v>
      </c>
      <c r="B77" s="113" t="s">
        <v>49</v>
      </c>
      <c r="C77" s="8">
        <f>CENTRALA!C56+'Razem OW'!C56</f>
        <v>11000</v>
      </c>
      <c r="D77" s="8">
        <f>CENTRALA!D56+'Razem OW'!D56</f>
        <v>11000</v>
      </c>
      <c r="E77" s="8" t="str">
        <f t="shared" si="0"/>
        <v>-</v>
      </c>
      <c r="F77" s="47">
        <f t="shared" si="1"/>
        <v>1</v>
      </c>
    </row>
    <row r="78" spans="1:6" ht="30.75" customHeight="1" x14ac:dyDescent="0.2">
      <c r="A78" s="97" t="s">
        <v>24</v>
      </c>
      <c r="B78" s="27" t="s">
        <v>25</v>
      </c>
      <c r="C78" s="8">
        <f>CENTRALA!C57+'Razem OW'!C57</f>
        <v>50</v>
      </c>
      <c r="D78" s="8">
        <f>CENTRALA!D57+'Razem OW'!D57</f>
        <v>50</v>
      </c>
      <c r="E78" s="8" t="str">
        <f t="shared" si="0"/>
        <v>-</v>
      </c>
      <c r="F78" s="47">
        <f t="shared" si="1"/>
        <v>1</v>
      </c>
    </row>
    <row r="79" spans="1:6" ht="30.75" customHeight="1" x14ac:dyDescent="0.2">
      <c r="A79" s="97" t="s">
        <v>26</v>
      </c>
      <c r="B79" s="27" t="s">
        <v>162</v>
      </c>
      <c r="C79" s="8">
        <f>CENTRALA!C58+'Razem OW'!C58</f>
        <v>112067</v>
      </c>
      <c r="D79" s="8">
        <f>CENTRALA!D58+'Razem OW'!D58</f>
        <v>112067</v>
      </c>
      <c r="E79" s="8" t="str">
        <f t="shared" si="0"/>
        <v>-</v>
      </c>
      <c r="F79" s="47">
        <f t="shared" si="1"/>
        <v>1</v>
      </c>
    </row>
    <row r="80" spans="1:6" ht="30.75" customHeight="1" x14ac:dyDescent="0.2">
      <c r="A80" s="97" t="s">
        <v>27</v>
      </c>
      <c r="B80" s="27" t="s">
        <v>28</v>
      </c>
      <c r="C80" s="8">
        <f>CENTRALA!C59+'Razem OW'!C59</f>
        <v>6303</v>
      </c>
      <c r="D80" s="8">
        <f>CENTRALA!D59+'Razem OW'!D59</f>
        <v>6303</v>
      </c>
      <c r="E80" s="8" t="str">
        <f t="shared" si="0"/>
        <v>-</v>
      </c>
      <c r="F80" s="47">
        <f t="shared" si="1"/>
        <v>1</v>
      </c>
    </row>
    <row r="81" spans="1:9" s="11" customFormat="1" ht="33" customHeight="1" x14ac:dyDescent="0.4">
      <c r="A81" s="144" t="s">
        <v>134</v>
      </c>
      <c r="B81" s="145" t="s">
        <v>164</v>
      </c>
      <c r="C81" s="131">
        <v>186596</v>
      </c>
      <c r="D81" s="131">
        <f>C81</f>
        <v>186596</v>
      </c>
      <c r="E81" s="131" t="str">
        <f t="shared" si="0"/>
        <v>-</v>
      </c>
      <c r="F81" s="132">
        <f t="shared" si="1"/>
        <v>1</v>
      </c>
    </row>
    <row r="82" spans="1:9" s="11" customFormat="1" ht="33" customHeight="1" x14ac:dyDescent="0.4">
      <c r="A82" s="144" t="s">
        <v>135</v>
      </c>
      <c r="B82" s="145" t="s">
        <v>216</v>
      </c>
      <c r="C82" s="131">
        <f>C83+C84+C85+C86</f>
        <v>233676</v>
      </c>
      <c r="D82" s="131">
        <f>D83+D84+D85+D86</f>
        <v>233676</v>
      </c>
      <c r="E82" s="131" t="str">
        <f t="shared" ref="E82:E93" si="2">IF(C82=D82,"-",D82-C82)</f>
        <v>-</v>
      </c>
      <c r="F82" s="132">
        <f t="shared" ref="F82:F93" si="3">IF(C82=0,"-",D82/C82)</f>
        <v>1</v>
      </c>
    </row>
    <row r="83" spans="1:9" ht="47.25" customHeight="1" x14ac:dyDescent="0.2">
      <c r="A83" s="103" t="s">
        <v>101</v>
      </c>
      <c r="B83" s="28" t="s">
        <v>115</v>
      </c>
      <c r="C83" s="8">
        <f>CENTRALA!C61+'Razem OW'!C61</f>
        <v>1269</v>
      </c>
      <c r="D83" s="8">
        <f>CENTRALA!D61+'Razem OW'!D61</f>
        <v>1269</v>
      </c>
      <c r="E83" s="8" t="str">
        <f t="shared" si="2"/>
        <v>-</v>
      </c>
      <c r="F83" s="47">
        <f t="shared" si="3"/>
        <v>1</v>
      </c>
    </row>
    <row r="84" spans="1:9" ht="33.75" customHeight="1" x14ac:dyDescent="0.2">
      <c r="A84" s="103" t="s">
        <v>30</v>
      </c>
      <c r="B84" s="28" t="s">
        <v>55</v>
      </c>
      <c r="C84" s="8">
        <f>CENTRALA!C62+'Razem OW'!C62</f>
        <v>192338</v>
      </c>
      <c r="D84" s="8">
        <f>CENTRALA!D62+'Razem OW'!D62</f>
        <v>192338</v>
      </c>
      <c r="E84" s="8" t="str">
        <f t="shared" si="2"/>
        <v>-</v>
      </c>
      <c r="F84" s="47">
        <f t="shared" si="3"/>
        <v>1</v>
      </c>
    </row>
    <row r="85" spans="1:9" ht="30" customHeight="1" x14ac:dyDescent="0.2">
      <c r="A85" s="103" t="s">
        <v>31</v>
      </c>
      <c r="B85" s="28" t="s">
        <v>103</v>
      </c>
      <c r="C85" s="8">
        <f>CENTRALA!C63+'Razem OW'!C63</f>
        <v>0</v>
      </c>
      <c r="D85" s="8">
        <f>CENTRALA!D63+'Razem OW'!D63</f>
        <v>0</v>
      </c>
      <c r="E85" s="8" t="str">
        <f t="shared" si="2"/>
        <v>-</v>
      </c>
      <c r="F85" s="47" t="str">
        <f t="shared" si="3"/>
        <v>-</v>
      </c>
    </row>
    <row r="86" spans="1:9" ht="30" customHeight="1" x14ac:dyDescent="0.2">
      <c r="A86" s="103" t="s">
        <v>102</v>
      </c>
      <c r="B86" s="29" t="s">
        <v>104</v>
      </c>
      <c r="C86" s="8">
        <f>CENTRALA!C64+'Razem OW'!C64</f>
        <v>40069</v>
      </c>
      <c r="D86" s="8">
        <f>CENTRALA!D64+'Razem OW'!D64</f>
        <v>40069</v>
      </c>
      <c r="E86" s="8" t="str">
        <f t="shared" si="2"/>
        <v>-</v>
      </c>
      <c r="F86" s="47">
        <f t="shared" si="3"/>
        <v>1</v>
      </c>
    </row>
    <row r="87" spans="1:9" s="11" customFormat="1" ht="33" customHeight="1" x14ac:dyDescent="0.4">
      <c r="A87" s="144" t="s">
        <v>136</v>
      </c>
      <c r="B87" s="145" t="s">
        <v>217</v>
      </c>
      <c r="C87" s="131">
        <f>C88+C89</f>
        <v>52142</v>
      </c>
      <c r="D87" s="131">
        <f>D88+D89</f>
        <v>52142</v>
      </c>
      <c r="E87" s="131" t="str">
        <f t="shared" si="2"/>
        <v>-</v>
      </c>
      <c r="F87" s="132">
        <f t="shared" si="3"/>
        <v>1</v>
      </c>
    </row>
    <row r="88" spans="1:9" ht="30" customHeight="1" x14ac:dyDescent="0.2">
      <c r="A88" s="103" t="s">
        <v>105</v>
      </c>
      <c r="B88" s="28" t="s">
        <v>106</v>
      </c>
      <c r="C88" s="8">
        <v>44370</v>
      </c>
      <c r="D88" s="8">
        <f t="shared" ref="D88:D89" si="4">C88</f>
        <v>44370</v>
      </c>
      <c r="E88" s="8" t="str">
        <f t="shared" si="2"/>
        <v>-</v>
      </c>
      <c r="F88" s="47">
        <f t="shared" si="3"/>
        <v>1</v>
      </c>
    </row>
    <row r="89" spans="1:9" ht="30" customHeight="1" x14ac:dyDescent="0.2">
      <c r="A89" s="103" t="s">
        <v>107</v>
      </c>
      <c r="B89" s="29" t="s">
        <v>108</v>
      </c>
      <c r="C89" s="8">
        <v>7772</v>
      </c>
      <c r="D89" s="8">
        <f t="shared" si="4"/>
        <v>7772</v>
      </c>
      <c r="E89" s="8" t="str">
        <f t="shared" si="2"/>
        <v>-</v>
      </c>
      <c r="F89" s="47">
        <f t="shared" si="3"/>
        <v>1</v>
      </c>
    </row>
    <row r="90" spans="1:9" s="11" customFormat="1" ht="39.75" customHeight="1" x14ac:dyDescent="0.4">
      <c r="A90" s="144" t="s">
        <v>137</v>
      </c>
      <c r="B90" s="145" t="s">
        <v>116</v>
      </c>
      <c r="C90" s="131">
        <f>CENTRALA!C65+'Razem OW'!C65</f>
        <v>86053</v>
      </c>
      <c r="D90" s="131">
        <f>CENTRALA!D65+'Razem OW'!D65</f>
        <v>86053</v>
      </c>
      <c r="E90" s="131" t="str">
        <f t="shared" si="2"/>
        <v>-</v>
      </c>
      <c r="F90" s="132">
        <f t="shared" si="3"/>
        <v>1</v>
      </c>
    </row>
    <row r="91" spans="1:9" s="11" customFormat="1" ht="64.5" customHeight="1" x14ac:dyDescent="0.4">
      <c r="A91" s="122" t="s">
        <v>138</v>
      </c>
      <c r="B91" s="123" t="s">
        <v>238</v>
      </c>
      <c r="C91" s="119">
        <f>C59-C60+C81-C82+C87-C90</f>
        <v>-57094</v>
      </c>
      <c r="D91" s="119">
        <f>D59-D60+D81-D82+D87-D90</f>
        <v>-57094</v>
      </c>
      <c r="E91" s="119" t="str">
        <f t="shared" si="2"/>
        <v>-</v>
      </c>
      <c r="F91" s="121">
        <f t="shared" si="3"/>
        <v>1</v>
      </c>
      <c r="I91" s="8">
        <f>D91-C91</f>
        <v>0</v>
      </c>
    </row>
    <row r="92" spans="1:9" s="11" customFormat="1" ht="33" customHeight="1" x14ac:dyDescent="0.4">
      <c r="A92" s="129" t="s">
        <v>139</v>
      </c>
      <c r="B92" s="146" t="s">
        <v>240</v>
      </c>
      <c r="C92" s="147">
        <f>C6+C12+C20+C21+C22+C23+C81+C87-C18</f>
        <v>77562530</v>
      </c>
      <c r="D92" s="147">
        <f>D6+D12+D20+D21+D22+D23+D81+D87-D18</f>
        <v>78510341</v>
      </c>
      <c r="E92" s="147">
        <f t="shared" si="2"/>
        <v>947811</v>
      </c>
      <c r="F92" s="148">
        <f t="shared" si="3"/>
        <v>1.0122</v>
      </c>
    </row>
    <row r="93" spans="1:9" s="11" customFormat="1" ht="33" customHeight="1" x14ac:dyDescent="0.4">
      <c r="A93" s="144" t="s">
        <v>140</v>
      </c>
      <c r="B93" s="149" t="s">
        <v>241</v>
      </c>
      <c r="C93" s="147">
        <f>C9+C15+C25+C26+C55+C56+C57+C60+C82+C90</f>
        <v>77619624</v>
      </c>
      <c r="D93" s="147">
        <f>D9+D15+D25+D26+D55+D56+D57+D60+D82+D90</f>
        <v>78567435</v>
      </c>
      <c r="E93" s="147">
        <f t="shared" si="2"/>
        <v>947811</v>
      </c>
      <c r="F93" s="148">
        <f t="shared" si="3"/>
        <v>1.0122</v>
      </c>
    </row>
    <row r="94" spans="1:9" ht="26.25" x14ac:dyDescent="0.2">
      <c r="C94" s="12"/>
    </row>
    <row r="95" spans="1:9" ht="26.25" x14ac:dyDescent="0.2">
      <c r="C95" s="12"/>
    </row>
    <row r="96" spans="1:9" ht="26.25" hidden="1" customHeight="1" x14ac:dyDescent="0.2">
      <c r="C96" s="12"/>
    </row>
    <row r="97" spans="3:9" ht="21" hidden="1" customHeight="1" x14ac:dyDescent="0.2">
      <c r="C97" s="12"/>
    </row>
    <row r="98" spans="3:9" ht="26.25" hidden="1" customHeight="1" x14ac:dyDescent="0.35">
      <c r="C98" s="12"/>
      <c r="F98" s="158" t="s">
        <v>247</v>
      </c>
      <c r="I98" s="8">
        <f>I91</f>
        <v>0</v>
      </c>
    </row>
    <row r="99" spans="3:9" ht="26.25" hidden="1" customHeight="1" x14ac:dyDescent="0.35">
      <c r="C99" s="12"/>
      <c r="F99" s="158" t="s">
        <v>246</v>
      </c>
      <c r="I99" s="8">
        <f>I91+D25</f>
        <v>737802</v>
      </c>
    </row>
    <row r="100" spans="3:9" ht="26.25" hidden="1" customHeight="1" x14ac:dyDescent="0.2">
      <c r="C100" s="12"/>
    </row>
    <row r="101" spans="3:9" ht="26.25" hidden="1" customHeight="1" x14ac:dyDescent="0.2">
      <c r="C101" s="12"/>
    </row>
    <row r="102" spans="3:9" ht="26.25" hidden="1" customHeight="1" x14ac:dyDescent="0.2">
      <c r="C102" s="12"/>
    </row>
    <row r="103" spans="3:9" ht="26.25" hidden="1" customHeight="1" x14ac:dyDescent="0.2">
      <c r="C103" s="12"/>
    </row>
    <row r="104" spans="3:9" ht="26.25" hidden="1" customHeight="1" x14ac:dyDescent="0.2">
      <c r="C104" s="12"/>
    </row>
  </sheetData>
  <mergeCells count="2">
    <mergeCell ref="A2:B2"/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fitToHeight="2" orientation="portrait" r:id="rId1"/>
  <headerFooter alignWithMargins="0">
    <oddFooter>&amp;R&amp;20&amp;P</oddFooter>
  </headerFooter>
  <rowBreaks count="1" manualBreakCount="1">
    <brk id="59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8" tint="0.39997558519241921"/>
    <pageSetUpPr fitToPage="1"/>
  </sheetPr>
  <dimension ref="A1:F65"/>
  <sheetViews>
    <sheetView showGridLines="0" zoomScale="55" zoomScaleNormal="55" zoomScaleSheetLayoutView="55" workbookViewId="0">
      <pane xSplit="2" ySplit="6" topLeftCell="C7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5.7109375" style="2" customWidth="1"/>
    <col min="4" max="4" width="26.85546875" style="2" customWidth="1"/>
    <col min="5" max="5" width="25.140625" style="2" customWidth="1"/>
    <col min="6" max="6" width="20.7109375" style="2" customWidth="1"/>
    <col min="7" max="16384" width="9.140625" style="2"/>
  </cols>
  <sheetData>
    <row r="1" spans="1:6" s="24" customFormat="1" ht="46.5" customHeight="1" x14ac:dyDescent="0.2">
      <c r="A1" s="160" t="str">
        <f>NFZ!A1</f>
        <v>ZMIANA PLANU FINANSOWEGO NARODOWEGO FUNDUSZU ZDROWIA NA 2017 ROK Z DNIA 18 LIPCA 2017 R.</v>
      </c>
      <c r="B1" s="160"/>
      <c r="C1" s="160"/>
      <c r="D1" s="160"/>
      <c r="E1" s="160"/>
      <c r="F1" s="160"/>
    </row>
    <row r="2" spans="1:6" s="26" customFormat="1" ht="33" customHeight="1" x14ac:dyDescent="0.2">
      <c r="A2" s="115" t="s">
        <v>67</v>
      </c>
      <c r="B2" s="115"/>
      <c r="C2" s="116"/>
    </row>
    <row r="3" spans="1:6" ht="33" customHeight="1" x14ac:dyDescent="0.25">
      <c r="A3" s="5"/>
      <c r="B3" s="6"/>
      <c r="C3" s="40"/>
      <c r="D3" s="40"/>
      <c r="E3" s="40" t="s">
        <v>141</v>
      </c>
      <c r="F3" s="7"/>
    </row>
    <row r="4" spans="1:6" s="117" customFormat="1" ht="65.099999999999994" customHeight="1" x14ac:dyDescent="0.2">
      <c r="A4" s="124" t="s">
        <v>118</v>
      </c>
      <c r="B4" s="124" t="s">
        <v>54</v>
      </c>
      <c r="C4" s="125" t="s">
        <v>230</v>
      </c>
      <c r="D4" s="125" t="s">
        <v>171</v>
      </c>
      <c r="E4" s="126" t="s">
        <v>172</v>
      </c>
      <c r="F4" s="126" t="s">
        <v>173</v>
      </c>
    </row>
    <row r="5" spans="1:6" s="118" customFormat="1" ht="14.25" x14ac:dyDescent="0.2">
      <c r="A5" s="127">
        <v>1</v>
      </c>
      <c r="B5" s="128">
        <v>2</v>
      </c>
      <c r="C5" s="127">
        <v>3</v>
      </c>
      <c r="D5" s="128">
        <v>4</v>
      </c>
      <c r="E5" s="127">
        <v>5</v>
      </c>
      <c r="F5" s="128">
        <v>6</v>
      </c>
    </row>
    <row r="6" spans="1:6" ht="30" customHeight="1" x14ac:dyDescent="0.2">
      <c r="A6" s="101" t="s">
        <v>0</v>
      </c>
      <c r="B6" s="73" t="s">
        <v>232</v>
      </c>
      <c r="C6" s="150">
        <f>C7+C8+C9+C14+C15+C16+C17+C18+C19+C20+C21+C22+C23+C24+C28+C29+C31+C32+C33+C34</f>
        <v>10502541</v>
      </c>
      <c r="D6" s="150">
        <f>D7+D8+D9+D14+D15+D16+D17+D18+D19+D20+D21+D22+D23+D24+D28+D29+D31+D32+D33+D34</f>
        <v>10710138</v>
      </c>
      <c r="E6" s="131">
        <f>IF(C6=D6,"-",D6-C6)</f>
        <v>207597</v>
      </c>
      <c r="F6" s="148">
        <f>IF(C6=0,"-",D6/C6)</f>
        <v>1.0198</v>
      </c>
    </row>
    <row r="7" spans="1:6" ht="33" customHeight="1" x14ac:dyDescent="0.2">
      <c r="A7" s="93" t="s">
        <v>1</v>
      </c>
      <c r="B7" s="15" t="s">
        <v>119</v>
      </c>
      <c r="C7" s="36">
        <v>1412554</v>
      </c>
      <c r="D7" s="14">
        <f>C7+47000</f>
        <v>1459554</v>
      </c>
      <c r="E7" s="43">
        <f t="shared" ref="E7:E65" si="0">IF(C7=D7,"-",D7-C7)</f>
        <v>47000</v>
      </c>
      <c r="F7" s="44">
        <f t="shared" ref="F7:F65" si="1">IF(C7=0,"-",D7/C7)</f>
        <v>1.0333000000000001</v>
      </c>
    </row>
    <row r="8" spans="1:6" ht="33" customHeight="1" x14ac:dyDescent="0.2">
      <c r="A8" s="93" t="s">
        <v>2</v>
      </c>
      <c r="B8" s="15" t="s">
        <v>120</v>
      </c>
      <c r="C8" s="36">
        <v>829058</v>
      </c>
      <c r="D8" s="14">
        <f>C8</f>
        <v>829058</v>
      </c>
      <c r="E8" s="43" t="str">
        <f t="shared" si="0"/>
        <v>-</v>
      </c>
      <c r="F8" s="44">
        <f t="shared" si="1"/>
        <v>1</v>
      </c>
    </row>
    <row r="9" spans="1:6" ht="33" customHeight="1" x14ac:dyDescent="0.2">
      <c r="A9" s="93" t="s">
        <v>3</v>
      </c>
      <c r="B9" s="15" t="s">
        <v>117</v>
      </c>
      <c r="C9" s="36">
        <v>5272945</v>
      </c>
      <c r="D9" s="14">
        <f>C9+158897-36000-1000</f>
        <v>5394842</v>
      </c>
      <c r="E9" s="43">
        <f t="shared" si="0"/>
        <v>121897</v>
      </c>
      <c r="F9" s="44">
        <f t="shared" si="1"/>
        <v>1.0230999999999999</v>
      </c>
    </row>
    <row r="10" spans="1:6" ht="31.5" customHeight="1" x14ac:dyDescent="0.2">
      <c r="A10" s="94" t="s">
        <v>56</v>
      </c>
      <c r="B10" s="89" t="s">
        <v>142</v>
      </c>
      <c r="C10" s="36">
        <v>534572</v>
      </c>
      <c r="D10" s="14">
        <f>C10+2000</f>
        <v>536572</v>
      </c>
      <c r="E10" s="43">
        <f t="shared" si="0"/>
        <v>2000</v>
      </c>
      <c r="F10" s="44">
        <f t="shared" si="1"/>
        <v>1.0037</v>
      </c>
    </row>
    <row r="11" spans="1:6" ht="31.5" customHeight="1" x14ac:dyDescent="0.2">
      <c r="A11" s="94" t="s">
        <v>143</v>
      </c>
      <c r="B11" s="89" t="s">
        <v>146</v>
      </c>
      <c r="C11" s="36">
        <v>488395</v>
      </c>
      <c r="D11" s="14">
        <f t="shared" ref="D11:D12" si="2">C11</f>
        <v>488395</v>
      </c>
      <c r="E11" s="43" t="str">
        <f t="shared" si="0"/>
        <v>-</v>
      </c>
      <c r="F11" s="44">
        <f t="shared" si="1"/>
        <v>1</v>
      </c>
    </row>
    <row r="12" spans="1:6" ht="31.5" customHeight="1" x14ac:dyDescent="0.2">
      <c r="A12" s="94" t="s">
        <v>144</v>
      </c>
      <c r="B12" s="89" t="s">
        <v>147</v>
      </c>
      <c r="C12" s="36">
        <v>232974</v>
      </c>
      <c r="D12" s="14">
        <f t="shared" si="2"/>
        <v>232974</v>
      </c>
      <c r="E12" s="43" t="str">
        <f t="shared" si="0"/>
        <v>-</v>
      </c>
      <c r="F12" s="44">
        <f t="shared" si="1"/>
        <v>1</v>
      </c>
    </row>
    <row r="13" spans="1:6" ht="31.5" customHeight="1" x14ac:dyDescent="0.2">
      <c r="A13" s="94" t="s">
        <v>145</v>
      </c>
      <c r="B13" s="89" t="s">
        <v>148</v>
      </c>
      <c r="C13" s="36">
        <v>106702</v>
      </c>
      <c r="D13" s="14">
        <f>C13</f>
        <v>106702</v>
      </c>
      <c r="E13" s="43" t="str">
        <f t="shared" si="0"/>
        <v>-</v>
      </c>
      <c r="F13" s="44">
        <f t="shared" si="1"/>
        <v>1</v>
      </c>
    </row>
    <row r="14" spans="1:6" ht="33" customHeight="1" x14ac:dyDescent="0.2">
      <c r="A14" s="93" t="s">
        <v>4</v>
      </c>
      <c r="B14" s="15" t="s">
        <v>125</v>
      </c>
      <c r="C14" s="36">
        <v>384250</v>
      </c>
      <c r="D14" s="14">
        <f>C14+1700</f>
        <v>385950</v>
      </c>
      <c r="E14" s="43">
        <f t="shared" si="0"/>
        <v>1700</v>
      </c>
      <c r="F14" s="44">
        <f t="shared" si="1"/>
        <v>1.0044</v>
      </c>
    </row>
    <row r="15" spans="1:6" ht="33" customHeight="1" x14ac:dyDescent="0.2">
      <c r="A15" s="93" t="s">
        <v>5</v>
      </c>
      <c r="B15" s="15" t="s">
        <v>121</v>
      </c>
      <c r="C15" s="36">
        <v>423922</v>
      </c>
      <c r="D15" s="14">
        <f t="shared" ref="D15:D34" si="3">C15</f>
        <v>423922</v>
      </c>
      <c r="E15" s="43" t="str">
        <f t="shared" si="0"/>
        <v>-</v>
      </c>
      <c r="F15" s="44">
        <f t="shared" si="1"/>
        <v>1</v>
      </c>
    </row>
    <row r="16" spans="1:6" ht="33" customHeight="1" x14ac:dyDescent="0.2">
      <c r="A16" s="93" t="s">
        <v>6</v>
      </c>
      <c r="B16" s="15" t="s">
        <v>127</v>
      </c>
      <c r="C16" s="36">
        <v>178277</v>
      </c>
      <c r="D16" s="14">
        <f t="shared" si="3"/>
        <v>178277</v>
      </c>
      <c r="E16" s="43" t="str">
        <f t="shared" si="0"/>
        <v>-</v>
      </c>
      <c r="F16" s="44">
        <f t="shared" si="1"/>
        <v>1</v>
      </c>
    </row>
    <row r="17" spans="1:6" ht="33" customHeight="1" x14ac:dyDescent="0.2">
      <c r="A17" s="93" t="s">
        <v>7</v>
      </c>
      <c r="B17" s="15" t="s">
        <v>126</v>
      </c>
      <c r="C17" s="36">
        <v>70718</v>
      </c>
      <c r="D17" s="14">
        <f t="shared" si="3"/>
        <v>70718</v>
      </c>
      <c r="E17" s="43" t="str">
        <f t="shared" si="0"/>
        <v>-</v>
      </c>
      <c r="F17" s="44">
        <f t="shared" si="1"/>
        <v>1</v>
      </c>
    </row>
    <row r="18" spans="1:6" ht="33" customHeight="1" x14ac:dyDescent="0.2">
      <c r="A18" s="93" t="s">
        <v>8</v>
      </c>
      <c r="B18" s="15" t="s">
        <v>122</v>
      </c>
      <c r="C18" s="36">
        <v>215457</v>
      </c>
      <c r="D18" s="14">
        <f t="shared" si="3"/>
        <v>215457</v>
      </c>
      <c r="E18" s="43" t="str">
        <f t="shared" si="0"/>
        <v>-</v>
      </c>
      <c r="F18" s="44">
        <f t="shared" si="1"/>
        <v>1</v>
      </c>
    </row>
    <row r="19" spans="1:6" ht="33" customHeight="1" x14ac:dyDescent="0.2">
      <c r="A19" s="93" t="s">
        <v>9</v>
      </c>
      <c r="B19" s="15" t="s">
        <v>123</v>
      </c>
      <c r="C19" s="36">
        <v>102936</v>
      </c>
      <c r="D19" s="14">
        <f t="shared" si="3"/>
        <v>102936</v>
      </c>
      <c r="E19" s="43" t="str">
        <f t="shared" si="0"/>
        <v>-</v>
      </c>
      <c r="F19" s="44">
        <f t="shared" si="1"/>
        <v>1</v>
      </c>
    </row>
    <row r="20" spans="1:6" ht="33" customHeight="1" x14ac:dyDescent="0.2">
      <c r="A20" s="93" t="s">
        <v>10</v>
      </c>
      <c r="B20" s="15" t="s">
        <v>128</v>
      </c>
      <c r="C20" s="36">
        <v>8138</v>
      </c>
      <c r="D20" s="14">
        <f t="shared" si="3"/>
        <v>8138</v>
      </c>
      <c r="E20" s="43" t="str">
        <f t="shared" si="0"/>
        <v>-</v>
      </c>
      <c r="F20" s="44">
        <f t="shared" si="1"/>
        <v>1</v>
      </c>
    </row>
    <row r="21" spans="1:6" ht="46.5" customHeight="1" x14ac:dyDescent="0.2">
      <c r="A21" s="93" t="s">
        <v>11</v>
      </c>
      <c r="B21" s="15" t="s">
        <v>124</v>
      </c>
      <c r="C21" s="36">
        <v>24388</v>
      </c>
      <c r="D21" s="14">
        <f t="shared" si="3"/>
        <v>24388</v>
      </c>
      <c r="E21" s="43" t="str">
        <f t="shared" si="0"/>
        <v>-</v>
      </c>
      <c r="F21" s="44">
        <f t="shared" si="1"/>
        <v>1</v>
      </c>
    </row>
    <row r="22" spans="1:6" ht="33" customHeight="1" x14ac:dyDescent="0.2">
      <c r="A22" s="93" t="s">
        <v>12</v>
      </c>
      <c r="B22" s="15" t="s">
        <v>165</v>
      </c>
      <c r="C22" s="36">
        <v>248490</v>
      </c>
      <c r="D22" s="14">
        <f t="shared" si="3"/>
        <v>248490</v>
      </c>
      <c r="E22" s="43" t="str">
        <f t="shared" si="0"/>
        <v>-</v>
      </c>
      <c r="F22" s="44">
        <f t="shared" si="1"/>
        <v>1</v>
      </c>
    </row>
    <row r="23" spans="1:6" ht="33" customHeight="1" x14ac:dyDescent="0.2">
      <c r="A23" s="93" t="s">
        <v>13</v>
      </c>
      <c r="B23" s="15" t="s">
        <v>149</v>
      </c>
      <c r="C23" s="36">
        <v>140000</v>
      </c>
      <c r="D23" s="14">
        <f t="shared" si="3"/>
        <v>140000</v>
      </c>
      <c r="E23" s="43" t="str">
        <f t="shared" si="0"/>
        <v>-</v>
      </c>
      <c r="F23" s="44">
        <f t="shared" si="1"/>
        <v>1</v>
      </c>
    </row>
    <row r="24" spans="1:6" ht="33" customHeight="1" x14ac:dyDescent="0.2">
      <c r="A24" s="95" t="s">
        <v>14</v>
      </c>
      <c r="B24" s="35" t="s">
        <v>222</v>
      </c>
      <c r="C24" s="36">
        <v>1147984</v>
      </c>
      <c r="D24" s="36">
        <f>SUM(D25:D27)</f>
        <v>1147984</v>
      </c>
      <c r="E24" s="43" t="str">
        <f t="shared" si="0"/>
        <v>-</v>
      </c>
      <c r="F24" s="44">
        <f t="shared" si="1"/>
        <v>1</v>
      </c>
    </row>
    <row r="25" spans="1:6" ht="37.5" x14ac:dyDescent="0.2">
      <c r="A25" s="94" t="s">
        <v>129</v>
      </c>
      <c r="B25" s="89" t="s">
        <v>151</v>
      </c>
      <c r="C25" s="36">
        <v>1140378</v>
      </c>
      <c r="D25" s="14">
        <f t="shared" si="3"/>
        <v>1140378</v>
      </c>
      <c r="E25" s="43" t="str">
        <f t="shared" si="0"/>
        <v>-</v>
      </c>
      <c r="F25" s="44">
        <f t="shared" si="1"/>
        <v>1</v>
      </c>
    </row>
    <row r="26" spans="1:6" ht="31.5" customHeight="1" x14ac:dyDescent="0.2">
      <c r="A26" s="94" t="s">
        <v>150</v>
      </c>
      <c r="B26" s="89" t="s">
        <v>153</v>
      </c>
      <c r="C26" s="36">
        <v>3058</v>
      </c>
      <c r="D26" s="14">
        <f t="shared" si="3"/>
        <v>3058</v>
      </c>
      <c r="E26" s="43" t="str">
        <f t="shared" si="0"/>
        <v>-</v>
      </c>
      <c r="F26" s="44">
        <f t="shared" si="1"/>
        <v>1</v>
      </c>
    </row>
    <row r="27" spans="1:6" ht="37.5" x14ac:dyDescent="0.2">
      <c r="A27" s="94" t="s">
        <v>154</v>
      </c>
      <c r="B27" s="89" t="s">
        <v>152</v>
      </c>
      <c r="C27" s="36">
        <v>4548</v>
      </c>
      <c r="D27" s="14">
        <f t="shared" si="3"/>
        <v>4548</v>
      </c>
      <c r="E27" s="43" t="str">
        <f t="shared" si="0"/>
        <v>-</v>
      </c>
      <c r="F27" s="44">
        <f t="shared" si="1"/>
        <v>1</v>
      </c>
    </row>
    <row r="28" spans="1:6" ht="33" customHeight="1" x14ac:dyDescent="0.2">
      <c r="A28" s="96" t="s">
        <v>15</v>
      </c>
      <c r="B28" s="16" t="s">
        <v>113</v>
      </c>
      <c r="C28" s="36">
        <v>0</v>
      </c>
      <c r="D28" s="14">
        <f t="shared" si="3"/>
        <v>0</v>
      </c>
      <c r="E28" s="43" t="str">
        <f t="shared" si="0"/>
        <v>-</v>
      </c>
      <c r="F28" s="44" t="str">
        <f t="shared" si="1"/>
        <v>-</v>
      </c>
    </row>
    <row r="29" spans="1:6" ht="33" customHeight="1" x14ac:dyDescent="0.2">
      <c r="A29" s="96" t="s">
        <v>110</v>
      </c>
      <c r="B29" s="17" t="s">
        <v>155</v>
      </c>
      <c r="C29" s="36">
        <v>0</v>
      </c>
      <c r="D29" s="14">
        <f>C29+37000</f>
        <v>37000</v>
      </c>
      <c r="E29" s="43">
        <f t="shared" si="0"/>
        <v>37000</v>
      </c>
      <c r="F29" s="44" t="str">
        <f t="shared" si="1"/>
        <v>-</v>
      </c>
    </row>
    <row r="30" spans="1:6" ht="31.5" customHeight="1" x14ac:dyDescent="0.2">
      <c r="A30" s="94" t="s">
        <v>156</v>
      </c>
      <c r="B30" s="89" t="s">
        <v>167</v>
      </c>
      <c r="C30" s="36">
        <v>0</v>
      </c>
      <c r="D30" s="14">
        <f t="shared" si="3"/>
        <v>0</v>
      </c>
      <c r="E30" s="43" t="str">
        <f t="shared" si="0"/>
        <v>-</v>
      </c>
      <c r="F30" s="44" t="str">
        <f t="shared" si="1"/>
        <v>-</v>
      </c>
    </row>
    <row r="31" spans="1:6" ht="33" customHeight="1" x14ac:dyDescent="0.2">
      <c r="A31" s="96" t="s">
        <v>111</v>
      </c>
      <c r="B31" s="17" t="s">
        <v>114</v>
      </c>
      <c r="C31" s="36">
        <v>0</v>
      </c>
      <c r="D31" s="14">
        <f t="shared" si="3"/>
        <v>0</v>
      </c>
      <c r="E31" s="43" t="str">
        <f t="shared" si="0"/>
        <v>-</v>
      </c>
      <c r="F31" s="44" t="str">
        <f t="shared" si="1"/>
        <v>-</v>
      </c>
    </row>
    <row r="32" spans="1:6" ht="33" customHeight="1" x14ac:dyDescent="0.2">
      <c r="A32" s="96" t="s">
        <v>112</v>
      </c>
      <c r="B32" s="17" t="s">
        <v>166</v>
      </c>
      <c r="C32" s="36">
        <v>30769</v>
      </c>
      <c r="D32" s="14">
        <f t="shared" si="3"/>
        <v>30769</v>
      </c>
      <c r="E32" s="43" t="str">
        <f t="shared" si="0"/>
        <v>-</v>
      </c>
      <c r="F32" s="44">
        <f t="shared" si="1"/>
        <v>1</v>
      </c>
    </row>
    <row r="33" spans="1:6" ht="42.75" customHeight="1" x14ac:dyDescent="0.2">
      <c r="A33" s="96" t="s">
        <v>223</v>
      </c>
      <c r="B33" s="17" t="s">
        <v>224</v>
      </c>
      <c r="C33" s="36">
        <v>0</v>
      </c>
      <c r="D33" s="14">
        <f t="shared" si="3"/>
        <v>0</v>
      </c>
      <c r="E33" s="43" t="str">
        <f>IF(C33=D33,"-",D33-C33)</f>
        <v>-</v>
      </c>
      <c r="F33" s="44" t="str">
        <f>IF(C33=0,"-",D33/C33)</f>
        <v>-</v>
      </c>
    </row>
    <row r="34" spans="1:6" ht="33" customHeight="1" x14ac:dyDescent="0.2">
      <c r="A34" s="96" t="s">
        <v>233</v>
      </c>
      <c r="B34" s="17" t="s">
        <v>234</v>
      </c>
      <c r="C34" s="36">
        <v>12655</v>
      </c>
      <c r="D34" s="14">
        <f t="shared" si="3"/>
        <v>12655</v>
      </c>
      <c r="E34" s="43" t="str">
        <f>IF(C34=D34,"-",D34-C34)</f>
        <v>-</v>
      </c>
      <c r="F34" s="44">
        <f>IF(C34=0,"-",D34/C34)</f>
        <v>1</v>
      </c>
    </row>
    <row r="35" spans="1:6" s="3" customFormat="1" ht="31.5" customHeight="1" x14ac:dyDescent="0.2">
      <c r="A35" s="97" t="s">
        <v>58</v>
      </c>
      <c r="B35" s="18" t="s">
        <v>59</v>
      </c>
      <c r="C35" s="37">
        <v>0</v>
      </c>
      <c r="D35" s="42">
        <f>C35</f>
        <v>0</v>
      </c>
      <c r="E35" s="8" t="str">
        <f t="shared" si="0"/>
        <v>-</v>
      </c>
      <c r="F35" s="45" t="str">
        <f t="shared" si="1"/>
        <v>-</v>
      </c>
    </row>
    <row r="36" spans="1:6" s="3" customFormat="1" ht="31.5" customHeight="1" x14ac:dyDescent="0.2">
      <c r="A36" s="97" t="s">
        <v>57</v>
      </c>
      <c r="B36" s="18" t="s">
        <v>60</v>
      </c>
      <c r="C36" s="37">
        <v>233743</v>
      </c>
      <c r="D36" s="42">
        <f>C36</f>
        <v>233743</v>
      </c>
      <c r="E36" s="8" t="str">
        <f t="shared" si="0"/>
        <v>-</v>
      </c>
      <c r="F36" s="45">
        <f t="shared" si="1"/>
        <v>1</v>
      </c>
    </row>
    <row r="37" spans="1:6" s="3" customFormat="1" ht="60.75" x14ac:dyDescent="0.2">
      <c r="A37" s="97" t="s">
        <v>235</v>
      </c>
      <c r="B37" s="18" t="s">
        <v>236</v>
      </c>
      <c r="C37" s="37">
        <v>85178</v>
      </c>
      <c r="D37" s="42">
        <f>C37</f>
        <v>85178</v>
      </c>
      <c r="E37" s="8" t="str">
        <f t="shared" si="0"/>
        <v>-</v>
      </c>
      <c r="F37" s="45">
        <f t="shared" si="1"/>
        <v>1</v>
      </c>
    </row>
    <row r="38" spans="1:6" s="3" customFormat="1" ht="42.75" customHeight="1" x14ac:dyDescent="0.2">
      <c r="A38" s="97" t="s">
        <v>157</v>
      </c>
      <c r="B38" s="18" t="s">
        <v>158</v>
      </c>
      <c r="C38" s="37">
        <f>C11+C13+C24+C30</f>
        <v>1743081</v>
      </c>
      <c r="D38" s="37">
        <f>D11+D13+D24+D30</f>
        <v>1743081</v>
      </c>
      <c r="E38" s="8" t="str">
        <f t="shared" si="0"/>
        <v>-</v>
      </c>
      <c r="F38" s="45">
        <f t="shared" si="1"/>
        <v>1</v>
      </c>
    </row>
    <row r="39" spans="1:6" ht="30" customHeight="1" x14ac:dyDescent="0.2">
      <c r="A39" s="151" t="s">
        <v>16</v>
      </c>
      <c r="B39" s="152" t="s">
        <v>228</v>
      </c>
      <c r="C39" s="135">
        <f>C40+C41+C42+C50+C52+C58+C59+C57</f>
        <v>69881</v>
      </c>
      <c r="D39" s="135">
        <f>D40+D41+D42+D50+D52+D58+D59+D57</f>
        <v>69881</v>
      </c>
      <c r="E39" s="131" t="str">
        <f t="shared" si="0"/>
        <v>-</v>
      </c>
      <c r="F39" s="153">
        <f t="shared" si="1"/>
        <v>1</v>
      </c>
    </row>
    <row r="40" spans="1:6" ht="28.5" customHeight="1" x14ac:dyDescent="0.2">
      <c r="A40" s="96" t="s">
        <v>17</v>
      </c>
      <c r="B40" s="20" t="s">
        <v>18</v>
      </c>
      <c r="C40" s="36">
        <v>2026</v>
      </c>
      <c r="D40" s="38">
        <f>C40</f>
        <v>2026</v>
      </c>
      <c r="E40" s="43" t="str">
        <f t="shared" si="0"/>
        <v>-</v>
      </c>
      <c r="F40" s="44">
        <f t="shared" si="1"/>
        <v>1</v>
      </c>
    </row>
    <row r="41" spans="1:6" ht="28.5" customHeight="1" x14ac:dyDescent="0.2">
      <c r="A41" s="96" t="s">
        <v>19</v>
      </c>
      <c r="B41" s="20" t="s">
        <v>20</v>
      </c>
      <c r="C41" s="36">
        <v>12156</v>
      </c>
      <c r="D41" s="38">
        <f t="shared" ref="D41:D59" si="4">C41</f>
        <v>12156</v>
      </c>
      <c r="E41" s="43" t="str">
        <f t="shared" si="0"/>
        <v>-</v>
      </c>
      <c r="F41" s="44">
        <f t="shared" si="1"/>
        <v>1</v>
      </c>
    </row>
    <row r="42" spans="1:6" ht="28.5" customHeight="1" x14ac:dyDescent="0.2">
      <c r="A42" s="96" t="s">
        <v>21</v>
      </c>
      <c r="B42" s="21" t="s">
        <v>229</v>
      </c>
      <c r="C42" s="38">
        <f>C43+C45+C46+C47+C48+C49</f>
        <v>233</v>
      </c>
      <c r="D42" s="38">
        <f>D43+D45+D46+D47+D48+D49</f>
        <v>233</v>
      </c>
      <c r="E42" s="43" t="str">
        <f t="shared" si="0"/>
        <v>-</v>
      </c>
      <c r="F42" s="44">
        <f t="shared" si="1"/>
        <v>1</v>
      </c>
    </row>
    <row r="43" spans="1:6" ht="28.5" customHeight="1" x14ac:dyDescent="0.2">
      <c r="A43" s="99" t="s">
        <v>39</v>
      </c>
      <c r="B43" s="90" t="s">
        <v>32</v>
      </c>
      <c r="C43" s="36">
        <v>20</v>
      </c>
      <c r="D43" s="38">
        <f t="shared" si="4"/>
        <v>20</v>
      </c>
      <c r="E43" s="43" t="str">
        <f t="shared" si="0"/>
        <v>-</v>
      </c>
      <c r="F43" s="44">
        <f t="shared" si="1"/>
        <v>1</v>
      </c>
    </row>
    <row r="44" spans="1:6" ht="28.5" customHeight="1" x14ac:dyDescent="0.2">
      <c r="A44" s="99" t="s">
        <v>40</v>
      </c>
      <c r="B44" s="91" t="s">
        <v>33</v>
      </c>
      <c r="C44" s="36">
        <v>20</v>
      </c>
      <c r="D44" s="38">
        <f t="shared" si="4"/>
        <v>20</v>
      </c>
      <c r="E44" s="43" t="str">
        <f t="shared" si="0"/>
        <v>-</v>
      </c>
      <c r="F44" s="44">
        <f t="shared" si="1"/>
        <v>1</v>
      </c>
    </row>
    <row r="45" spans="1:6" ht="28.5" customHeight="1" x14ac:dyDescent="0.2">
      <c r="A45" s="99" t="s">
        <v>41</v>
      </c>
      <c r="B45" s="90" t="s">
        <v>34</v>
      </c>
      <c r="C45" s="36">
        <v>12</v>
      </c>
      <c r="D45" s="38">
        <f t="shared" si="4"/>
        <v>12</v>
      </c>
      <c r="E45" s="43" t="str">
        <f t="shared" si="0"/>
        <v>-</v>
      </c>
      <c r="F45" s="44">
        <f t="shared" si="1"/>
        <v>1</v>
      </c>
    </row>
    <row r="46" spans="1:6" ht="28.5" customHeight="1" x14ac:dyDescent="0.2">
      <c r="A46" s="99" t="s">
        <v>42</v>
      </c>
      <c r="B46" s="90" t="s">
        <v>35</v>
      </c>
      <c r="C46" s="36">
        <v>0</v>
      </c>
      <c r="D46" s="38">
        <f t="shared" si="4"/>
        <v>0</v>
      </c>
      <c r="E46" s="43" t="str">
        <f t="shared" si="0"/>
        <v>-</v>
      </c>
      <c r="F46" s="44" t="str">
        <f t="shared" si="1"/>
        <v>-</v>
      </c>
    </row>
    <row r="47" spans="1:6" ht="28.5" customHeight="1" x14ac:dyDescent="0.2">
      <c r="A47" s="99" t="s">
        <v>43</v>
      </c>
      <c r="B47" s="90" t="s">
        <v>36</v>
      </c>
      <c r="C47" s="36">
        <v>0</v>
      </c>
      <c r="D47" s="38">
        <f t="shared" si="4"/>
        <v>0</v>
      </c>
      <c r="E47" s="43" t="str">
        <f t="shared" si="0"/>
        <v>-</v>
      </c>
      <c r="F47" s="44" t="str">
        <f t="shared" si="1"/>
        <v>-</v>
      </c>
    </row>
    <row r="48" spans="1:6" ht="28.5" customHeight="1" x14ac:dyDescent="0.2">
      <c r="A48" s="99" t="s">
        <v>44</v>
      </c>
      <c r="B48" s="90" t="s">
        <v>37</v>
      </c>
      <c r="C48" s="36">
        <v>198</v>
      </c>
      <c r="D48" s="38">
        <f t="shared" si="4"/>
        <v>198</v>
      </c>
      <c r="E48" s="43" t="str">
        <f t="shared" si="0"/>
        <v>-</v>
      </c>
      <c r="F48" s="44">
        <f t="shared" si="1"/>
        <v>1</v>
      </c>
    </row>
    <row r="49" spans="1:6" ht="28.5" customHeight="1" x14ac:dyDescent="0.2">
      <c r="A49" s="99" t="s">
        <v>45</v>
      </c>
      <c r="B49" s="90" t="s">
        <v>38</v>
      </c>
      <c r="C49" s="36">
        <v>3</v>
      </c>
      <c r="D49" s="38">
        <f t="shared" si="4"/>
        <v>3</v>
      </c>
      <c r="E49" s="43" t="str">
        <f t="shared" si="0"/>
        <v>-</v>
      </c>
      <c r="F49" s="44">
        <f t="shared" si="1"/>
        <v>1</v>
      </c>
    </row>
    <row r="50" spans="1:6" ht="28.5" customHeight="1" x14ac:dyDescent="0.2">
      <c r="A50" s="96" t="s">
        <v>22</v>
      </c>
      <c r="B50" s="20" t="s">
        <v>159</v>
      </c>
      <c r="C50" s="36">
        <v>43485</v>
      </c>
      <c r="D50" s="38">
        <f t="shared" si="4"/>
        <v>43485</v>
      </c>
      <c r="E50" s="43" t="str">
        <f t="shared" si="0"/>
        <v>-</v>
      </c>
      <c r="F50" s="44">
        <f t="shared" si="1"/>
        <v>1</v>
      </c>
    </row>
    <row r="51" spans="1:6" ht="28.5" customHeight="1" x14ac:dyDescent="0.2">
      <c r="A51" s="99" t="s">
        <v>160</v>
      </c>
      <c r="B51" s="90" t="s">
        <v>161</v>
      </c>
      <c r="C51" s="36">
        <v>71</v>
      </c>
      <c r="D51" s="38">
        <f t="shared" si="4"/>
        <v>71</v>
      </c>
      <c r="E51" s="43" t="str">
        <f t="shared" si="0"/>
        <v>-</v>
      </c>
      <c r="F51" s="44">
        <f t="shared" si="1"/>
        <v>1</v>
      </c>
    </row>
    <row r="52" spans="1:6" ht="28.5" customHeight="1" x14ac:dyDescent="0.2">
      <c r="A52" s="96" t="s">
        <v>23</v>
      </c>
      <c r="B52" s="21" t="s">
        <v>227</v>
      </c>
      <c r="C52" s="34">
        <f>C53+C54+C55+C56</f>
        <v>9749</v>
      </c>
      <c r="D52" s="34">
        <f>D53+D54+D55+D56</f>
        <v>9749</v>
      </c>
      <c r="E52" s="43" t="str">
        <f t="shared" si="0"/>
        <v>-</v>
      </c>
      <c r="F52" s="44">
        <f t="shared" si="1"/>
        <v>1</v>
      </c>
    </row>
    <row r="53" spans="1:6" ht="28.5" customHeight="1" x14ac:dyDescent="0.2">
      <c r="A53" s="99" t="s">
        <v>50</v>
      </c>
      <c r="B53" s="90" t="s">
        <v>46</v>
      </c>
      <c r="C53" s="36">
        <v>7463</v>
      </c>
      <c r="D53" s="38">
        <f t="shared" si="4"/>
        <v>7463</v>
      </c>
      <c r="E53" s="43" t="str">
        <f t="shared" si="0"/>
        <v>-</v>
      </c>
      <c r="F53" s="44">
        <f t="shared" si="1"/>
        <v>1</v>
      </c>
    </row>
    <row r="54" spans="1:6" ht="28.5" customHeight="1" x14ac:dyDescent="0.2">
      <c r="A54" s="99" t="s">
        <v>51</v>
      </c>
      <c r="B54" s="90" t="s">
        <v>47</v>
      </c>
      <c r="C54" s="36">
        <v>1065</v>
      </c>
      <c r="D54" s="38">
        <f t="shared" si="4"/>
        <v>1065</v>
      </c>
      <c r="E54" s="43" t="str">
        <f t="shared" si="0"/>
        <v>-</v>
      </c>
      <c r="F54" s="44">
        <f t="shared" si="1"/>
        <v>1</v>
      </c>
    </row>
    <row r="55" spans="1:6" ht="28.5" customHeight="1" x14ac:dyDescent="0.2">
      <c r="A55" s="99" t="s">
        <v>52</v>
      </c>
      <c r="B55" s="90" t="s">
        <v>48</v>
      </c>
      <c r="C55" s="36">
        <v>0</v>
      </c>
      <c r="D55" s="38">
        <f t="shared" si="4"/>
        <v>0</v>
      </c>
      <c r="E55" s="43" t="str">
        <f t="shared" si="0"/>
        <v>-</v>
      </c>
      <c r="F55" s="44" t="str">
        <f t="shared" si="1"/>
        <v>-</v>
      </c>
    </row>
    <row r="56" spans="1:6" ht="28.5" customHeight="1" x14ac:dyDescent="0.2">
      <c r="A56" s="99" t="s">
        <v>53</v>
      </c>
      <c r="B56" s="90" t="s">
        <v>49</v>
      </c>
      <c r="C56" s="36">
        <v>1221</v>
      </c>
      <c r="D56" s="38">
        <f t="shared" si="4"/>
        <v>1221</v>
      </c>
      <c r="E56" s="43" t="str">
        <f t="shared" si="0"/>
        <v>-</v>
      </c>
      <c r="F56" s="44">
        <f t="shared" si="1"/>
        <v>1</v>
      </c>
    </row>
    <row r="57" spans="1:6" ht="28.5" customHeight="1" x14ac:dyDescent="0.2">
      <c r="A57" s="96" t="s">
        <v>24</v>
      </c>
      <c r="B57" s="20" t="s">
        <v>25</v>
      </c>
      <c r="C57" s="36">
        <v>0</v>
      </c>
      <c r="D57" s="38">
        <f t="shared" si="4"/>
        <v>0</v>
      </c>
      <c r="E57" s="43" t="str">
        <f t="shared" si="0"/>
        <v>-</v>
      </c>
      <c r="F57" s="44" t="str">
        <f t="shared" si="1"/>
        <v>-</v>
      </c>
    </row>
    <row r="58" spans="1:6" ht="28.5" customHeight="1" x14ac:dyDescent="0.2">
      <c r="A58" s="96" t="s">
        <v>26</v>
      </c>
      <c r="B58" s="20" t="s">
        <v>162</v>
      </c>
      <c r="C58" s="36">
        <v>1837</v>
      </c>
      <c r="D58" s="38">
        <f t="shared" si="4"/>
        <v>1837</v>
      </c>
      <c r="E58" s="43" t="str">
        <f t="shared" si="0"/>
        <v>-</v>
      </c>
      <c r="F58" s="46">
        <f t="shared" si="1"/>
        <v>1</v>
      </c>
    </row>
    <row r="59" spans="1:6" ht="28.5" customHeight="1" x14ac:dyDescent="0.2">
      <c r="A59" s="96" t="s">
        <v>27</v>
      </c>
      <c r="B59" s="20" t="s">
        <v>28</v>
      </c>
      <c r="C59" s="36">
        <v>395</v>
      </c>
      <c r="D59" s="38">
        <f t="shared" si="4"/>
        <v>395</v>
      </c>
      <c r="E59" s="43" t="str">
        <f t="shared" si="0"/>
        <v>-</v>
      </c>
      <c r="F59" s="44">
        <f t="shared" si="1"/>
        <v>1</v>
      </c>
    </row>
    <row r="60" spans="1:6" ht="30" customHeight="1" x14ac:dyDescent="0.2">
      <c r="A60" s="142" t="s">
        <v>135</v>
      </c>
      <c r="B60" s="143" t="s">
        <v>163</v>
      </c>
      <c r="C60" s="154">
        <f>C61+C62+C63+C64</f>
        <v>21960</v>
      </c>
      <c r="D60" s="154">
        <f>D61+D62+D63+D64</f>
        <v>21960</v>
      </c>
      <c r="E60" s="131" t="str">
        <f t="shared" si="0"/>
        <v>-</v>
      </c>
      <c r="F60" s="155">
        <f t="shared" si="1"/>
        <v>1</v>
      </c>
    </row>
    <row r="61" spans="1:6" ht="42" customHeight="1" x14ac:dyDescent="0.2">
      <c r="A61" s="96" t="s">
        <v>101</v>
      </c>
      <c r="B61" s="20" t="s">
        <v>115</v>
      </c>
      <c r="C61" s="36">
        <v>0</v>
      </c>
      <c r="D61" s="38">
        <f>C61</f>
        <v>0</v>
      </c>
      <c r="E61" s="34" t="str">
        <f t="shared" si="0"/>
        <v>-</v>
      </c>
      <c r="F61" s="44" t="str">
        <f t="shared" si="1"/>
        <v>-</v>
      </c>
    </row>
    <row r="62" spans="1:6" ht="31.5" customHeight="1" x14ac:dyDescent="0.2">
      <c r="A62" s="96" t="s">
        <v>30</v>
      </c>
      <c r="B62" s="20" t="s">
        <v>55</v>
      </c>
      <c r="C62" s="36">
        <v>13828</v>
      </c>
      <c r="D62" s="38">
        <f>C62</f>
        <v>13828</v>
      </c>
      <c r="E62" s="34" t="str">
        <f t="shared" si="0"/>
        <v>-</v>
      </c>
      <c r="F62" s="44">
        <f t="shared" si="1"/>
        <v>1</v>
      </c>
    </row>
    <row r="63" spans="1:6" ht="31.5" customHeight="1" x14ac:dyDescent="0.2">
      <c r="A63" s="96" t="s">
        <v>31</v>
      </c>
      <c r="B63" s="20" t="s">
        <v>103</v>
      </c>
      <c r="C63" s="36">
        <v>0</v>
      </c>
      <c r="D63" s="38">
        <f>C63</f>
        <v>0</v>
      </c>
      <c r="E63" s="34" t="str">
        <f t="shared" si="0"/>
        <v>-</v>
      </c>
      <c r="F63" s="44" t="str">
        <f t="shared" si="1"/>
        <v>-</v>
      </c>
    </row>
    <row r="64" spans="1:6" ht="31.5" customHeight="1" x14ac:dyDescent="0.2">
      <c r="A64" s="96" t="s">
        <v>102</v>
      </c>
      <c r="B64" s="20" t="s">
        <v>104</v>
      </c>
      <c r="C64" s="36">
        <v>8132</v>
      </c>
      <c r="D64" s="38">
        <f>C64</f>
        <v>8132</v>
      </c>
      <c r="E64" s="34" t="str">
        <f t="shared" si="0"/>
        <v>-</v>
      </c>
      <c r="F64" s="44">
        <f t="shared" si="1"/>
        <v>1</v>
      </c>
    </row>
    <row r="65" spans="1:6" ht="32.25" customHeight="1" x14ac:dyDescent="0.2">
      <c r="A65" s="142" t="s">
        <v>137</v>
      </c>
      <c r="B65" s="143" t="s">
        <v>116</v>
      </c>
      <c r="C65" s="154">
        <v>9640</v>
      </c>
      <c r="D65" s="154">
        <f>C65</f>
        <v>9640</v>
      </c>
      <c r="E65" s="131" t="str">
        <f t="shared" si="0"/>
        <v>-</v>
      </c>
      <c r="F65" s="155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5.7109375" style="2" customWidth="1"/>
    <col min="4" max="4" width="26.85546875" style="2" customWidth="1"/>
    <col min="5" max="5" width="25.140625" style="2" customWidth="1"/>
    <col min="6" max="6" width="20.7109375" style="2" customWidth="1"/>
    <col min="7" max="16384" width="9.140625" style="2"/>
  </cols>
  <sheetData>
    <row r="1" spans="1:6" s="24" customFormat="1" ht="46.5" customHeight="1" x14ac:dyDescent="0.2">
      <c r="A1" s="160" t="str">
        <f>NFZ!A1</f>
        <v>ZMIANA PLANU FINANSOWEGO NARODOWEGO FUNDUSZU ZDROWIA NA 2017 ROK Z DNIA 18 LIPCA 2017 R.</v>
      </c>
      <c r="B1" s="160"/>
      <c r="C1" s="160"/>
      <c r="D1" s="160"/>
      <c r="E1" s="160"/>
      <c r="F1" s="160"/>
    </row>
    <row r="2" spans="1:6" s="26" customFormat="1" ht="33" customHeight="1" x14ac:dyDescent="0.2">
      <c r="A2" s="115" t="s">
        <v>68</v>
      </c>
      <c r="B2" s="115"/>
      <c r="C2" s="116"/>
    </row>
    <row r="3" spans="1:6" ht="33" customHeight="1" x14ac:dyDescent="0.25">
      <c r="A3" s="5"/>
      <c r="B3" s="6"/>
      <c r="C3" s="40"/>
      <c r="D3" s="40"/>
      <c r="E3" s="40" t="s">
        <v>141</v>
      </c>
      <c r="F3" s="7"/>
    </row>
    <row r="4" spans="1:6" s="117" customFormat="1" ht="65.099999999999994" customHeight="1" x14ac:dyDescent="0.2">
      <c r="A4" s="124" t="s">
        <v>118</v>
      </c>
      <c r="B4" s="124" t="s">
        <v>54</v>
      </c>
      <c r="C4" s="125" t="s">
        <v>230</v>
      </c>
      <c r="D4" s="125" t="s">
        <v>171</v>
      </c>
      <c r="E4" s="126" t="s">
        <v>172</v>
      </c>
      <c r="F4" s="126" t="s">
        <v>173</v>
      </c>
    </row>
    <row r="5" spans="1:6" s="118" customFormat="1" ht="14.25" x14ac:dyDescent="0.2">
      <c r="A5" s="127">
        <v>1</v>
      </c>
      <c r="B5" s="128">
        <v>2</v>
      </c>
      <c r="C5" s="127">
        <v>3</v>
      </c>
      <c r="D5" s="128">
        <v>4</v>
      </c>
      <c r="E5" s="127">
        <v>5</v>
      </c>
      <c r="F5" s="128">
        <v>6</v>
      </c>
    </row>
    <row r="6" spans="1:6" ht="30" customHeight="1" x14ac:dyDescent="0.2">
      <c r="A6" s="101" t="s">
        <v>0</v>
      </c>
      <c r="B6" s="73" t="s">
        <v>232</v>
      </c>
      <c r="C6" s="150">
        <f>C7+C8+C9+C14+C15+C16+C17+C18+C19+C20+C21+C22+C23+C24+C28+C29+C31+C32+C33+C34</f>
        <v>1752975</v>
      </c>
      <c r="D6" s="150">
        <f>D7+D8+D9+D14+D15+D16+D17+D18+D19+D20+D21+D22+D23+D24+D28+D29+D31+D32+D33+D34</f>
        <v>1787995</v>
      </c>
      <c r="E6" s="131">
        <f>IF(C6=D6,"-",D6-C6)</f>
        <v>35020</v>
      </c>
      <c r="F6" s="148">
        <f>IF(C6=0,"-",D6/C6)</f>
        <v>1.02</v>
      </c>
    </row>
    <row r="7" spans="1:6" ht="33" customHeight="1" x14ac:dyDescent="0.2">
      <c r="A7" s="93" t="s">
        <v>1</v>
      </c>
      <c r="B7" s="15" t="s">
        <v>119</v>
      </c>
      <c r="C7" s="36">
        <v>239379</v>
      </c>
      <c r="D7" s="14">
        <f>C7</f>
        <v>239379</v>
      </c>
      <c r="E7" s="43" t="str">
        <f t="shared" ref="E7:E65" si="0">IF(C7=D7,"-",D7-C7)</f>
        <v>-</v>
      </c>
      <c r="F7" s="44">
        <f t="shared" ref="F7:F65" si="1">IF(C7=0,"-",D7/C7)</f>
        <v>1</v>
      </c>
    </row>
    <row r="8" spans="1:6" ht="33" customHeight="1" x14ac:dyDescent="0.2">
      <c r="A8" s="93" t="s">
        <v>2</v>
      </c>
      <c r="B8" s="15" t="s">
        <v>120</v>
      </c>
      <c r="C8" s="36">
        <v>128650</v>
      </c>
      <c r="D8" s="14">
        <f>C8+7000</f>
        <v>135650</v>
      </c>
      <c r="E8" s="43">
        <f t="shared" si="0"/>
        <v>7000</v>
      </c>
      <c r="F8" s="44">
        <f t="shared" si="1"/>
        <v>1.0544</v>
      </c>
    </row>
    <row r="9" spans="1:6" ht="33" customHeight="1" x14ac:dyDescent="0.2">
      <c r="A9" s="93" t="s">
        <v>3</v>
      </c>
      <c r="B9" s="15" t="s">
        <v>117</v>
      </c>
      <c r="C9" s="36">
        <v>848244</v>
      </c>
      <c r="D9" s="14">
        <f>C9+13420-3000</f>
        <v>858664</v>
      </c>
      <c r="E9" s="43">
        <f t="shared" si="0"/>
        <v>10420</v>
      </c>
      <c r="F9" s="44">
        <f t="shared" si="1"/>
        <v>1.0123</v>
      </c>
    </row>
    <row r="10" spans="1:6" ht="31.5" customHeight="1" x14ac:dyDescent="0.2">
      <c r="A10" s="94" t="s">
        <v>56</v>
      </c>
      <c r="B10" s="89" t="s">
        <v>142</v>
      </c>
      <c r="C10" s="36">
        <v>66050</v>
      </c>
      <c r="D10" s="14">
        <f t="shared" ref="D10:D34" si="2">C10</f>
        <v>66050</v>
      </c>
      <c r="E10" s="43" t="str">
        <f t="shared" si="0"/>
        <v>-</v>
      </c>
      <c r="F10" s="44">
        <f t="shared" si="1"/>
        <v>1</v>
      </c>
    </row>
    <row r="11" spans="1:6" ht="31.5" customHeight="1" x14ac:dyDescent="0.2">
      <c r="A11" s="94" t="s">
        <v>143</v>
      </c>
      <c r="B11" s="89" t="s">
        <v>146</v>
      </c>
      <c r="C11" s="36">
        <v>60476</v>
      </c>
      <c r="D11" s="14">
        <f t="shared" si="2"/>
        <v>60476</v>
      </c>
      <c r="E11" s="43" t="str">
        <f t="shared" si="0"/>
        <v>-</v>
      </c>
      <c r="F11" s="44">
        <f t="shared" si="1"/>
        <v>1</v>
      </c>
    </row>
    <row r="12" spans="1:6" ht="31.5" customHeight="1" x14ac:dyDescent="0.2">
      <c r="A12" s="94" t="s">
        <v>144</v>
      </c>
      <c r="B12" s="89" t="s">
        <v>147</v>
      </c>
      <c r="C12" s="36">
        <v>35170</v>
      </c>
      <c r="D12" s="14">
        <f t="shared" si="2"/>
        <v>35170</v>
      </c>
      <c r="E12" s="43" t="str">
        <f t="shared" si="0"/>
        <v>-</v>
      </c>
      <c r="F12" s="44">
        <f t="shared" si="1"/>
        <v>1</v>
      </c>
    </row>
    <row r="13" spans="1:6" ht="31.5" customHeight="1" x14ac:dyDescent="0.2">
      <c r="A13" s="94" t="s">
        <v>145</v>
      </c>
      <c r="B13" s="89" t="s">
        <v>148</v>
      </c>
      <c r="C13" s="36">
        <v>15917</v>
      </c>
      <c r="D13" s="14">
        <f t="shared" si="2"/>
        <v>15917</v>
      </c>
      <c r="E13" s="43" t="str">
        <f t="shared" si="0"/>
        <v>-</v>
      </c>
      <c r="F13" s="44">
        <f t="shared" si="1"/>
        <v>1</v>
      </c>
    </row>
    <row r="14" spans="1:6" ht="33" customHeight="1" x14ac:dyDescent="0.2">
      <c r="A14" s="93" t="s">
        <v>4</v>
      </c>
      <c r="B14" s="15" t="s">
        <v>125</v>
      </c>
      <c r="C14" s="36">
        <v>64987</v>
      </c>
      <c r="D14" s="14">
        <f>C14+1500</f>
        <v>66487</v>
      </c>
      <c r="E14" s="43">
        <f t="shared" si="0"/>
        <v>1500</v>
      </c>
      <c r="F14" s="44">
        <f t="shared" si="1"/>
        <v>1.0230999999999999</v>
      </c>
    </row>
    <row r="15" spans="1:6" ht="33" customHeight="1" x14ac:dyDescent="0.2">
      <c r="A15" s="93" t="s">
        <v>5</v>
      </c>
      <c r="B15" s="15" t="s">
        <v>121</v>
      </c>
      <c r="C15" s="36">
        <v>54249</v>
      </c>
      <c r="D15" s="14">
        <f>C15+1000</f>
        <v>55249</v>
      </c>
      <c r="E15" s="43">
        <f t="shared" si="0"/>
        <v>1000</v>
      </c>
      <c r="F15" s="44">
        <f t="shared" si="1"/>
        <v>1.0184</v>
      </c>
    </row>
    <row r="16" spans="1:6" ht="33" customHeight="1" x14ac:dyDescent="0.2">
      <c r="A16" s="93" t="s">
        <v>6</v>
      </c>
      <c r="B16" s="15" t="s">
        <v>127</v>
      </c>
      <c r="C16" s="36">
        <v>53570</v>
      </c>
      <c r="D16" s="14">
        <f>C16+1600</f>
        <v>55170</v>
      </c>
      <c r="E16" s="43">
        <f t="shared" si="0"/>
        <v>1600</v>
      </c>
      <c r="F16" s="44">
        <f t="shared" si="1"/>
        <v>1.0299</v>
      </c>
    </row>
    <row r="17" spans="1:6" ht="33" customHeight="1" x14ac:dyDescent="0.2">
      <c r="A17" s="93" t="s">
        <v>7</v>
      </c>
      <c r="B17" s="15" t="s">
        <v>126</v>
      </c>
      <c r="C17" s="36">
        <v>16332</v>
      </c>
      <c r="D17" s="14">
        <f>C17+1500</f>
        <v>17832</v>
      </c>
      <c r="E17" s="43">
        <f t="shared" si="0"/>
        <v>1500</v>
      </c>
      <c r="F17" s="44">
        <f t="shared" si="1"/>
        <v>1.0918000000000001</v>
      </c>
    </row>
    <row r="18" spans="1:6" ht="33" customHeight="1" x14ac:dyDescent="0.2">
      <c r="A18" s="93" t="s">
        <v>8</v>
      </c>
      <c r="B18" s="15" t="s">
        <v>122</v>
      </c>
      <c r="C18" s="36">
        <v>45396</v>
      </c>
      <c r="D18" s="14">
        <f t="shared" si="2"/>
        <v>45396</v>
      </c>
      <c r="E18" s="43" t="str">
        <f t="shared" si="0"/>
        <v>-</v>
      </c>
      <c r="F18" s="44">
        <f t="shared" si="1"/>
        <v>1</v>
      </c>
    </row>
    <row r="19" spans="1:6" ht="33" customHeight="1" x14ac:dyDescent="0.2">
      <c r="A19" s="93" t="s">
        <v>9</v>
      </c>
      <c r="B19" s="15" t="s">
        <v>123</v>
      </c>
      <c r="C19" s="36">
        <v>12700</v>
      </c>
      <c r="D19" s="14">
        <f t="shared" si="2"/>
        <v>12700</v>
      </c>
      <c r="E19" s="43" t="str">
        <f t="shared" si="0"/>
        <v>-</v>
      </c>
      <c r="F19" s="44">
        <f t="shared" si="1"/>
        <v>1</v>
      </c>
    </row>
    <row r="20" spans="1:6" ht="33" customHeight="1" x14ac:dyDescent="0.2">
      <c r="A20" s="93" t="s">
        <v>10</v>
      </c>
      <c r="B20" s="15" t="s">
        <v>128</v>
      </c>
      <c r="C20" s="36">
        <v>1299</v>
      </c>
      <c r="D20" s="14">
        <f t="shared" si="2"/>
        <v>1299</v>
      </c>
      <c r="E20" s="43" t="str">
        <f t="shared" si="0"/>
        <v>-</v>
      </c>
      <c r="F20" s="44">
        <f t="shared" si="1"/>
        <v>1</v>
      </c>
    </row>
    <row r="21" spans="1:6" ht="46.5" customHeight="1" x14ac:dyDescent="0.2">
      <c r="A21" s="93" t="s">
        <v>11</v>
      </c>
      <c r="B21" s="15" t="s">
        <v>124</v>
      </c>
      <c r="C21" s="36">
        <v>4329</v>
      </c>
      <c r="D21" s="14">
        <f>C21+1000</f>
        <v>5329</v>
      </c>
      <c r="E21" s="43">
        <f t="shared" si="0"/>
        <v>1000</v>
      </c>
      <c r="F21" s="44">
        <f t="shared" si="1"/>
        <v>1.2310000000000001</v>
      </c>
    </row>
    <row r="22" spans="1:6" ht="33" customHeight="1" x14ac:dyDescent="0.2">
      <c r="A22" s="93" t="s">
        <v>12</v>
      </c>
      <c r="B22" s="15" t="s">
        <v>165</v>
      </c>
      <c r="C22" s="36">
        <v>46040</v>
      </c>
      <c r="D22" s="14">
        <f>C22+4000</f>
        <v>50040</v>
      </c>
      <c r="E22" s="43">
        <f t="shared" si="0"/>
        <v>4000</v>
      </c>
      <c r="F22" s="44">
        <f t="shared" si="1"/>
        <v>1.0869</v>
      </c>
    </row>
    <row r="23" spans="1:6" ht="33" customHeight="1" x14ac:dyDescent="0.2">
      <c r="A23" s="93" t="s">
        <v>13</v>
      </c>
      <c r="B23" s="15" t="s">
        <v>149</v>
      </c>
      <c r="C23" s="36">
        <v>25375</v>
      </c>
      <c r="D23" s="14">
        <f>C23+3000</f>
        <v>28375</v>
      </c>
      <c r="E23" s="43">
        <f t="shared" si="0"/>
        <v>3000</v>
      </c>
      <c r="F23" s="44">
        <f t="shared" si="1"/>
        <v>1.1182000000000001</v>
      </c>
    </row>
    <row r="24" spans="1:6" ht="33" customHeight="1" x14ac:dyDescent="0.2">
      <c r="A24" s="95" t="s">
        <v>14</v>
      </c>
      <c r="B24" s="35" t="s">
        <v>222</v>
      </c>
      <c r="C24" s="36">
        <v>200000</v>
      </c>
      <c r="D24" s="36">
        <f>SUM(D25:D27)</f>
        <v>200000</v>
      </c>
      <c r="E24" s="43" t="str">
        <f t="shared" si="0"/>
        <v>-</v>
      </c>
      <c r="F24" s="44">
        <f t="shared" si="1"/>
        <v>1</v>
      </c>
    </row>
    <row r="25" spans="1:6" ht="37.5" x14ac:dyDescent="0.2">
      <c r="A25" s="94" t="s">
        <v>129</v>
      </c>
      <c r="B25" s="89" t="s">
        <v>151</v>
      </c>
      <c r="C25" s="36">
        <v>199290</v>
      </c>
      <c r="D25" s="14">
        <f>C25</f>
        <v>199290</v>
      </c>
      <c r="E25" s="43" t="str">
        <f t="shared" si="0"/>
        <v>-</v>
      </c>
      <c r="F25" s="44">
        <f t="shared" si="1"/>
        <v>1</v>
      </c>
    </row>
    <row r="26" spans="1:6" ht="31.5" customHeight="1" x14ac:dyDescent="0.2">
      <c r="A26" s="94" t="s">
        <v>150</v>
      </c>
      <c r="B26" s="89" t="s">
        <v>153</v>
      </c>
      <c r="C26" s="36">
        <v>600</v>
      </c>
      <c r="D26" s="14">
        <f t="shared" si="2"/>
        <v>600</v>
      </c>
      <c r="E26" s="43" t="str">
        <f t="shared" si="0"/>
        <v>-</v>
      </c>
      <c r="F26" s="44">
        <f t="shared" si="1"/>
        <v>1</v>
      </c>
    </row>
    <row r="27" spans="1:6" ht="37.5" x14ac:dyDescent="0.2">
      <c r="A27" s="94" t="s">
        <v>154</v>
      </c>
      <c r="B27" s="89" t="s">
        <v>152</v>
      </c>
      <c r="C27" s="36">
        <v>110</v>
      </c>
      <c r="D27" s="14">
        <f t="shared" si="2"/>
        <v>110</v>
      </c>
      <c r="E27" s="43" t="str">
        <f t="shared" si="0"/>
        <v>-</v>
      </c>
      <c r="F27" s="44">
        <f t="shared" si="1"/>
        <v>1</v>
      </c>
    </row>
    <row r="28" spans="1:6" ht="33" customHeight="1" x14ac:dyDescent="0.2">
      <c r="A28" s="96" t="s">
        <v>15</v>
      </c>
      <c r="B28" s="16" t="s">
        <v>113</v>
      </c>
      <c r="C28" s="36">
        <v>0</v>
      </c>
      <c r="D28" s="14">
        <f t="shared" si="2"/>
        <v>0</v>
      </c>
      <c r="E28" s="43" t="str">
        <f t="shared" si="0"/>
        <v>-</v>
      </c>
      <c r="F28" s="44" t="str">
        <f t="shared" si="1"/>
        <v>-</v>
      </c>
    </row>
    <row r="29" spans="1:6" ht="33" customHeight="1" x14ac:dyDescent="0.2">
      <c r="A29" s="96" t="s">
        <v>110</v>
      </c>
      <c r="B29" s="17" t="s">
        <v>155</v>
      </c>
      <c r="C29" s="36">
        <v>0</v>
      </c>
      <c r="D29" s="14">
        <f>C29+4000</f>
        <v>4000</v>
      </c>
      <c r="E29" s="43">
        <f t="shared" si="0"/>
        <v>4000</v>
      </c>
      <c r="F29" s="44" t="str">
        <f t="shared" si="1"/>
        <v>-</v>
      </c>
    </row>
    <row r="30" spans="1:6" ht="31.5" customHeight="1" x14ac:dyDescent="0.2">
      <c r="A30" s="94" t="s">
        <v>156</v>
      </c>
      <c r="B30" s="89" t="s">
        <v>167</v>
      </c>
      <c r="C30" s="36">
        <v>0</v>
      </c>
      <c r="D30" s="14">
        <f t="shared" si="2"/>
        <v>0</v>
      </c>
      <c r="E30" s="43" t="str">
        <f t="shared" si="0"/>
        <v>-</v>
      </c>
      <c r="F30" s="44" t="str">
        <f t="shared" si="1"/>
        <v>-</v>
      </c>
    </row>
    <row r="31" spans="1:6" ht="33" customHeight="1" x14ac:dyDescent="0.2">
      <c r="A31" s="96" t="s">
        <v>111</v>
      </c>
      <c r="B31" s="17" t="s">
        <v>114</v>
      </c>
      <c r="C31" s="36">
        <v>0</v>
      </c>
      <c r="D31" s="14">
        <f t="shared" si="2"/>
        <v>0</v>
      </c>
      <c r="E31" s="43" t="str">
        <f t="shared" si="0"/>
        <v>-</v>
      </c>
      <c r="F31" s="44" t="str">
        <f t="shared" si="1"/>
        <v>-</v>
      </c>
    </row>
    <row r="32" spans="1:6" ht="33" customHeight="1" x14ac:dyDescent="0.2">
      <c r="A32" s="96" t="s">
        <v>112</v>
      </c>
      <c r="B32" s="17" t="s">
        <v>166</v>
      </c>
      <c r="C32" s="36">
        <v>12005</v>
      </c>
      <c r="D32" s="14">
        <f t="shared" si="2"/>
        <v>12005</v>
      </c>
      <c r="E32" s="43" t="str">
        <f t="shared" si="0"/>
        <v>-</v>
      </c>
      <c r="F32" s="44">
        <f t="shared" si="1"/>
        <v>1</v>
      </c>
    </row>
    <row r="33" spans="1:6" ht="42.75" customHeight="1" x14ac:dyDescent="0.2">
      <c r="A33" s="96" t="s">
        <v>223</v>
      </c>
      <c r="B33" s="17" t="s">
        <v>224</v>
      </c>
      <c r="C33" s="36">
        <v>0</v>
      </c>
      <c r="D33" s="14">
        <f t="shared" si="2"/>
        <v>0</v>
      </c>
      <c r="E33" s="43" t="str">
        <f>IF(C33=D33,"-",D33-C33)</f>
        <v>-</v>
      </c>
      <c r="F33" s="44" t="str">
        <f>IF(C33=0,"-",D33/C33)</f>
        <v>-</v>
      </c>
    </row>
    <row r="34" spans="1:6" ht="33" customHeight="1" x14ac:dyDescent="0.2">
      <c r="A34" s="96" t="s">
        <v>233</v>
      </c>
      <c r="B34" s="17" t="s">
        <v>234</v>
      </c>
      <c r="C34" s="36">
        <v>420</v>
      </c>
      <c r="D34" s="14">
        <f t="shared" si="2"/>
        <v>420</v>
      </c>
      <c r="E34" s="43" t="str">
        <f>IF(C34=D34,"-",D34-C34)</f>
        <v>-</v>
      </c>
      <c r="F34" s="44">
        <f>IF(C34=0,"-",D34/C34)</f>
        <v>1</v>
      </c>
    </row>
    <row r="35" spans="1:6" s="3" customFormat="1" ht="31.5" customHeight="1" x14ac:dyDescent="0.2">
      <c r="A35" s="97" t="s">
        <v>58</v>
      </c>
      <c r="B35" s="18" t="s">
        <v>59</v>
      </c>
      <c r="C35" s="37">
        <v>0</v>
      </c>
      <c r="D35" s="42">
        <f>C35</f>
        <v>0</v>
      </c>
      <c r="E35" s="8" t="str">
        <f t="shared" si="0"/>
        <v>-</v>
      </c>
      <c r="F35" s="45" t="str">
        <f t="shared" si="1"/>
        <v>-</v>
      </c>
    </row>
    <row r="36" spans="1:6" s="3" customFormat="1" ht="31.5" customHeight="1" x14ac:dyDescent="0.2">
      <c r="A36" s="97" t="s">
        <v>57</v>
      </c>
      <c r="B36" s="18" t="s">
        <v>60</v>
      </c>
      <c r="C36" s="37">
        <v>53191</v>
      </c>
      <c r="D36" s="42">
        <f>C36</f>
        <v>53191</v>
      </c>
      <c r="E36" s="8" t="str">
        <f t="shared" si="0"/>
        <v>-</v>
      </c>
      <c r="F36" s="45">
        <f t="shared" si="1"/>
        <v>1</v>
      </c>
    </row>
    <row r="37" spans="1:6" s="3" customFormat="1" ht="40.5" x14ac:dyDescent="0.2">
      <c r="A37" s="97" t="s">
        <v>235</v>
      </c>
      <c r="B37" s="18" t="s">
        <v>236</v>
      </c>
      <c r="C37" s="37">
        <v>15128</v>
      </c>
      <c r="D37" s="42">
        <f>C37</f>
        <v>15128</v>
      </c>
      <c r="E37" s="8" t="str">
        <f t="shared" si="0"/>
        <v>-</v>
      </c>
      <c r="F37" s="45">
        <f t="shared" si="1"/>
        <v>1</v>
      </c>
    </row>
    <row r="38" spans="1:6" s="3" customFormat="1" ht="42.75" customHeight="1" x14ac:dyDescent="0.2">
      <c r="A38" s="97" t="s">
        <v>157</v>
      </c>
      <c r="B38" s="18" t="s">
        <v>158</v>
      </c>
      <c r="C38" s="37">
        <f>C11+C13+C24+C30</f>
        <v>276393</v>
      </c>
      <c r="D38" s="37">
        <f>D11+D13+D24+D30</f>
        <v>276393</v>
      </c>
      <c r="E38" s="8" t="str">
        <f t="shared" si="0"/>
        <v>-</v>
      </c>
      <c r="F38" s="45">
        <f t="shared" si="1"/>
        <v>1</v>
      </c>
    </row>
    <row r="39" spans="1:6" ht="30" customHeight="1" x14ac:dyDescent="0.2">
      <c r="A39" s="151" t="s">
        <v>16</v>
      </c>
      <c r="B39" s="152" t="s">
        <v>228</v>
      </c>
      <c r="C39" s="135">
        <f>C40+C41+C42+C50+C52+C58+C59+C57</f>
        <v>16136</v>
      </c>
      <c r="D39" s="135">
        <f>D40+D41+D42+D50+D52+D58+D59+D57</f>
        <v>16136</v>
      </c>
      <c r="E39" s="131" t="str">
        <f t="shared" si="0"/>
        <v>-</v>
      </c>
      <c r="F39" s="153">
        <f t="shared" si="1"/>
        <v>1</v>
      </c>
    </row>
    <row r="40" spans="1:6" ht="28.5" customHeight="1" x14ac:dyDescent="0.2">
      <c r="A40" s="96" t="s">
        <v>17</v>
      </c>
      <c r="B40" s="20" t="s">
        <v>18</v>
      </c>
      <c r="C40" s="36">
        <v>826</v>
      </c>
      <c r="D40" s="38">
        <f>C40</f>
        <v>826</v>
      </c>
      <c r="E40" s="43" t="str">
        <f t="shared" si="0"/>
        <v>-</v>
      </c>
      <c r="F40" s="44">
        <f t="shared" si="1"/>
        <v>1</v>
      </c>
    </row>
    <row r="41" spans="1:6" ht="28.5" customHeight="1" x14ac:dyDescent="0.2">
      <c r="A41" s="96" t="s">
        <v>19</v>
      </c>
      <c r="B41" s="20" t="s">
        <v>20</v>
      </c>
      <c r="C41" s="36">
        <v>2155</v>
      </c>
      <c r="D41" s="38">
        <f t="shared" ref="D41:D59" si="3">C41</f>
        <v>2155</v>
      </c>
      <c r="E41" s="43" t="str">
        <f t="shared" si="0"/>
        <v>-</v>
      </c>
      <c r="F41" s="44">
        <f t="shared" si="1"/>
        <v>1</v>
      </c>
    </row>
    <row r="42" spans="1:6" ht="28.5" customHeight="1" x14ac:dyDescent="0.2">
      <c r="A42" s="96" t="s">
        <v>21</v>
      </c>
      <c r="B42" s="21" t="s">
        <v>229</v>
      </c>
      <c r="C42" s="38">
        <f>C43+C45+C46+C47+C48+C49</f>
        <v>166</v>
      </c>
      <c r="D42" s="38">
        <f>D43+D45+D46+D47+D48+D49</f>
        <v>166</v>
      </c>
      <c r="E42" s="43" t="str">
        <f t="shared" si="0"/>
        <v>-</v>
      </c>
      <c r="F42" s="44">
        <f t="shared" si="1"/>
        <v>1</v>
      </c>
    </row>
    <row r="43" spans="1:6" ht="28.5" customHeight="1" x14ac:dyDescent="0.2">
      <c r="A43" s="99" t="s">
        <v>39</v>
      </c>
      <c r="B43" s="90" t="s">
        <v>32</v>
      </c>
      <c r="C43" s="36">
        <v>0</v>
      </c>
      <c r="D43" s="38">
        <f t="shared" si="3"/>
        <v>0</v>
      </c>
      <c r="E43" s="43" t="str">
        <f t="shared" si="0"/>
        <v>-</v>
      </c>
      <c r="F43" s="44" t="str">
        <f t="shared" si="1"/>
        <v>-</v>
      </c>
    </row>
    <row r="44" spans="1:6" ht="28.5" customHeight="1" x14ac:dyDescent="0.2">
      <c r="A44" s="99" t="s">
        <v>40</v>
      </c>
      <c r="B44" s="91" t="s">
        <v>33</v>
      </c>
      <c r="C44" s="36">
        <v>0</v>
      </c>
      <c r="D44" s="38">
        <f t="shared" si="3"/>
        <v>0</v>
      </c>
      <c r="E44" s="43" t="str">
        <f t="shared" si="0"/>
        <v>-</v>
      </c>
      <c r="F44" s="44" t="str">
        <f t="shared" si="1"/>
        <v>-</v>
      </c>
    </row>
    <row r="45" spans="1:6" ht="28.5" customHeight="1" x14ac:dyDescent="0.2">
      <c r="A45" s="99" t="s">
        <v>41</v>
      </c>
      <c r="B45" s="90" t="s">
        <v>34</v>
      </c>
      <c r="C45" s="36">
        <v>8</v>
      </c>
      <c r="D45" s="38">
        <f t="shared" si="3"/>
        <v>8</v>
      </c>
      <c r="E45" s="43" t="str">
        <f t="shared" si="0"/>
        <v>-</v>
      </c>
      <c r="F45" s="44">
        <f t="shared" si="1"/>
        <v>1</v>
      </c>
    </row>
    <row r="46" spans="1:6" ht="28.5" customHeight="1" x14ac:dyDescent="0.2">
      <c r="A46" s="99" t="s">
        <v>42</v>
      </c>
      <c r="B46" s="90" t="s">
        <v>35</v>
      </c>
      <c r="C46" s="36">
        <v>0</v>
      </c>
      <c r="D46" s="38">
        <f t="shared" si="3"/>
        <v>0</v>
      </c>
      <c r="E46" s="43" t="str">
        <f t="shared" si="0"/>
        <v>-</v>
      </c>
      <c r="F46" s="44" t="str">
        <f t="shared" si="1"/>
        <v>-</v>
      </c>
    </row>
    <row r="47" spans="1:6" ht="28.5" customHeight="1" x14ac:dyDescent="0.2">
      <c r="A47" s="99" t="s">
        <v>43</v>
      </c>
      <c r="B47" s="90" t="s">
        <v>36</v>
      </c>
      <c r="C47" s="36">
        <v>0</v>
      </c>
      <c r="D47" s="38">
        <f t="shared" si="3"/>
        <v>0</v>
      </c>
      <c r="E47" s="43" t="str">
        <f t="shared" si="0"/>
        <v>-</v>
      </c>
      <c r="F47" s="44" t="str">
        <f t="shared" si="1"/>
        <v>-</v>
      </c>
    </row>
    <row r="48" spans="1:6" ht="28.5" customHeight="1" x14ac:dyDescent="0.2">
      <c r="A48" s="99" t="s">
        <v>44</v>
      </c>
      <c r="B48" s="90" t="s">
        <v>37</v>
      </c>
      <c r="C48" s="36">
        <v>152</v>
      </c>
      <c r="D48" s="38">
        <f t="shared" si="3"/>
        <v>152</v>
      </c>
      <c r="E48" s="43" t="str">
        <f t="shared" si="0"/>
        <v>-</v>
      </c>
      <c r="F48" s="44">
        <f t="shared" si="1"/>
        <v>1</v>
      </c>
    </row>
    <row r="49" spans="1:6" ht="28.5" customHeight="1" x14ac:dyDescent="0.2">
      <c r="A49" s="99" t="s">
        <v>45</v>
      </c>
      <c r="B49" s="90" t="s">
        <v>38</v>
      </c>
      <c r="C49" s="36">
        <v>6</v>
      </c>
      <c r="D49" s="38">
        <f t="shared" si="3"/>
        <v>6</v>
      </c>
      <c r="E49" s="43" t="str">
        <f t="shared" si="0"/>
        <v>-</v>
      </c>
      <c r="F49" s="44">
        <f t="shared" si="1"/>
        <v>1</v>
      </c>
    </row>
    <row r="50" spans="1:6" ht="28.5" customHeight="1" x14ac:dyDescent="0.2">
      <c r="A50" s="96" t="s">
        <v>22</v>
      </c>
      <c r="B50" s="20" t="s">
        <v>159</v>
      </c>
      <c r="C50" s="36">
        <v>9284</v>
      </c>
      <c r="D50" s="38">
        <f t="shared" si="3"/>
        <v>9284</v>
      </c>
      <c r="E50" s="43" t="str">
        <f t="shared" si="0"/>
        <v>-</v>
      </c>
      <c r="F50" s="44">
        <f t="shared" si="1"/>
        <v>1</v>
      </c>
    </row>
    <row r="51" spans="1:6" ht="28.5" customHeight="1" x14ac:dyDescent="0.2">
      <c r="A51" s="99" t="s">
        <v>160</v>
      </c>
      <c r="B51" s="90" t="s">
        <v>161</v>
      </c>
      <c r="C51" s="36">
        <v>41</v>
      </c>
      <c r="D51" s="38">
        <f t="shared" si="3"/>
        <v>41</v>
      </c>
      <c r="E51" s="43" t="str">
        <f t="shared" si="0"/>
        <v>-</v>
      </c>
      <c r="F51" s="44">
        <f t="shared" si="1"/>
        <v>1</v>
      </c>
    </row>
    <row r="52" spans="1:6" ht="28.5" customHeight="1" x14ac:dyDescent="0.2">
      <c r="A52" s="96" t="s">
        <v>23</v>
      </c>
      <c r="B52" s="21" t="s">
        <v>227</v>
      </c>
      <c r="C52" s="34">
        <f>C53+C54+C55+C56</f>
        <v>2085</v>
      </c>
      <c r="D52" s="34">
        <f>D53+D54+D55+D56</f>
        <v>2085</v>
      </c>
      <c r="E52" s="43" t="str">
        <f t="shared" si="0"/>
        <v>-</v>
      </c>
      <c r="F52" s="44">
        <f t="shared" si="1"/>
        <v>1</v>
      </c>
    </row>
    <row r="53" spans="1:6" ht="28.5" customHeight="1" x14ac:dyDescent="0.2">
      <c r="A53" s="99" t="s">
        <v>50</v>
      </c>
      <c r="B53" s="90" t="s">
        <v>46</v>
      </c>
      <c r="C53" s="36">
        <v>1592</v>
      </c>
      <c r="D53" s="38">
        <f t="shared" si="3"/>
        <v>1592</v>
      </c>
      <c r="E53" s="43" t="str">
        <f t="shared" si="0"/>
        <v>-</v>
      </c>
      <c r="F53" s="44">
        <f t="shared" si="1"/>
        <v>1</v>
      </c>
    </row>
    <row r="54" spans="1:6" ht="28.5" customHeight="1" x14ac:dyDescent="0.2">
      <c r="A54" s="99" t="s">
        <v>51</v>
      </c>
      <c r="B54" s="90" t="s">
        <v>47</v>
      </c>
      <c r="C54" s="36">
        <v>227</v>
      </c>
      <c r="D54" s="38">
        <f t="shared" si="3"/>
        <v>227</v>
      </c>
      <c r="E54" s="43" t="str">
        <f t="shared" si="0"/>
        <v>-</v>
      </c>
      <c r="F54" s="44">
        <f t="shared" si="1"/>
        <v>1</v>
      </c>
    </row>
    <row r="55" spans="1:6" ht="28.5" customHeight="1" x14ac:dyDescent="0.2">
      <c r="A55" s="99" t="s">
        <v>52</v>
      </c>
      <c r="B55" s="90" t="s">
        <v>48</v>
      </c>
      <c r="C55" s="36">
        <v>0</v>
      </c>
      <c r="D55" s="38">
        <f t="shared" si="3"/>
        <v>0</v>
      </c>
      <c r="E55" s="43" t="str">
        <f t="shared" si="0"/>
        <v>-</v>
      </c>
      <c r="F55" s="44" t="str">
        <f t="shared" si="1"/>
        <v>-</v>
      </c>
    </row>
    <row r="56" spans="1:6" ht="28.5" customHeight="1" x14ac:dyDescent="0.2">
      <c r="A56" s="99" t="s">
        <v>53</v>
      </c>
      <c r="B56" s="90" t="s">
        <v>49</v>
      </c>
      <c r="C56" s="36">
        <v>266</v>
      </c>
      <c r="D56" s="38">
        <f t="shared" si="3"/>
        <v>266</v>
      </c>
      <c r="E56" s="43" t="str">
        <f t="shared" si="0"/>
        <v>-</v>
      </c>
      <c r="F56" s="44">
        <f t="shared" si="1"/>
        <v>1</v>
      </c>
    </row>
    <row r="57" spans="1:6" ht="28.5" customHeight="1" x14ac:dyDescent="0.2">
      <c r="A57" s="96" t="s">
        <v>24</v>
      </c>
      <c r="B57" s="20" t="s">
        <v>25</v>
      </c>
      <c r="C57" s="36">
        <v>0</v>
      </c>
      <c r="D57" s="38">
        <f t="shared" si="3"/>
        <v>0</v>
      </c>
      <c r="E57" s="43" t="str">
        <f t="shared" si="0"/>
        <v>-</v>
      </c>
      <c r="F57" s="44" t="str">
        <f t="shared" si="1"/>
        <v>-</v>
      </c>
    </row>
    <row r="58" spans="1:6" ht="28.5" customHeight="1" x14ac:dyDescent="0.2">
      <c r="A58" s="96" t="s">
        <v>26</v>
      </c>
      <c r="B58" s="20" t="s">
        <v>162</v>
      </c>
      <c r="C58" s="36">
        <v>1435</v>
      </c>
      <c r="D58" s="38">
        <f t="shared" si="3"/>
        <v>1435</v>
      </c>
      <c r="E58" s="43" t="str">
        <f t="shared" si="0"/>
        <v>-</v>
      </c>
      <c r="F58" s="46">
        <f t="shared" si="1"/>
        <v>1</v>
      </c>
    </row>
    <row r="59" spans="1:6" ht="28.5" customHeight="1" x14ac:dyDescent="0.2">
      <c r="A59" s="96" t="s">
        <v>27</v>
      </c>
      <c r="B59" s="20" t="s">
        <v>28</v>
      </c>
      <c r="C59" s="36">
        <v>185</v>
      </c>
      <c r="D59" s="38">
        <f t="shared" si="3"/>
        <v>185</v>
      </c>
      <c r="E59" s="43" t="str">
        <f t="shared" si="0"/>
        <v>-</v>
      </c>
      <c r="F59" s="44">
        <f t="shared" si="1"/>
        <v>1</v>
      </c>
    </row>
    <row r="60" spans="1:6" ht="30" customHeight="1" x14ac:dyDescent="0.2">
      <c r="A60" s="142" t="s">
        <v>135</v>
      </c>
      <c r="B60" s="143" t="s">
        <v>163</v>
      </c>
      <c r="C60" s="154">
        <f>C61+C62+C63+C64</f>
        <v>7720</v>
      </c>
      <c r="D60" s="154">
        <f>D61+D62+D63+D64</f>
        <v>7720</v>
      </c>
      <c r="E60" s="131" t="str">
        <f t="shared" si="0"/>
        <v>-</v>
      </c>
      <c r="F60" s="155">
        <f t="shared" si="1"/>
        <v>1</v>
      </c>
    </row>
    <row r="61" spans="1:6" ht="42" customHeight="1" x14ac:dyDescent="0.2">
      <c r="A61" s="96" t="s">
        <v>101</v>
      </c>
      <c r="B61" s="20" t="s">
        <v>115</v>
      </c>
      <c r="C61" s="36">
        <v>0</v>
      </c>
      <c r="D61" s="38">
        <f>C61</f>
        <v>0</v>
      </c>
      <c r="E61" s="34" t="str">
        <f t="shared" si="0"/>
        <v>-</v>
      </c>
      <c r="F61" s="44" t="str">
        <f t="shared" si="1"/>
        <v>-</v>
      </c>
    </row>
    <row r="62" spans="1:6" ht="31.5" customHeight="1" x14ac:dyDescent="0.2">
      <c r="A62" s="96" t="s">
        <v>30</v>
      </c>
      <c r="B62" s="20" t="s">
        <v>55</v>
      </c>
      <c r="C62" s="36">
        <v>5700</v>
      </c>
      <c r="D62" s="38">
        <f>C62</f>
        <v>5700</v>
      </c>
      <c r="E62" s="34" t="str">
        <f t="shared" si="0"/>
        <v>-</v>
      </c>
      <c r="F62" s="44">
        <f t="shared" si="1"/>
        <v>1</v>
      </c>
    </row>
    <row r="63" spans="1:6" ht="31.5" customHeight="1" x14ac:dyDescent="0.2">
      <c r="A63" s="96" t="s">
        <v>31</v>
      </c>
      <c r="B63" s="20" t="s">
        <v>103</v>
      </c>
      <c r="C63" s="36">
        <v>0</v>
      </c>
      <c r="D63" s="38">
        <f>C63</f>
        <v>0</v>
      </c>
      <c r="E63" s="34" t="str">
        <f t="shared" si="0"/>
        <v>-</v>
      </c>
      <c r="F63" s="44" t="str">
        <f t="shared" si="1"/>
        <v>-</v>
      </c>
    </row>
    <row r="64" spans="1:6" ht="31.5" customHeight="1" x14ac:dyDescent="0.2">
      <c r="A64" s="96" t="s">
        <v>102</v>
      </c>
      <c r="B64" s="20" t="s">
        <v>104</v>
      </c>
      <c r="C64" s="36">
        <v>2020</v>
      </c>
      <c r="D64" s="38">
        <f>C64</f>
        <v>2020</v>
      </c>
      <c r="E64" s="34" t="str">
        <f t="shared" si="0"/>
        <v>-</v>
      </c>
      <c r="F64" s="44">
        <f t="shared" si="1"/>
        <v>1</v>
      </c>
    </row>
    <row r="65" spans="1:6" ht="32.25" customHeight="1" x14ac:dyDescent="0.2">
      <c r="A65" s="142" t="s">
        <v>137</v>
      </c>
      <c r="B65" s="143" t="s">
        <v>116</v>
      </c>
      <c r="C65" s="154">
        <v>1238</v>
      </c>
      <c r="D65" s="154">
        <f>C65</f>
        <v>1238</v>
      </c>
      <c r="E65" s="131" t="str">
        <f t="shared" si="0"/>
        <v>-</v>
      </c>
      <c r="F65" s="155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13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5.7109375" style="2" customWidth="1"/>
    <col min="4" max="4" width="26.85546875" style="2" customWidth="1"/>
    <col min="5" max="5" width="25.140625" style="2" customWidth="1"/>
    <col min="6" max="6" width="20.7109375" style="2" customWidth="1"/>
    <col min="7" max="16384" width="9.140625" style="2"/>
  </cols>
  <sheetData>
    <row r="1" spans="1:6" s="24" customFormat="1" ht="46.5" customHeight="1" x14ac:dyDescent="0.2">
      <c r="A1" s="160" t="str">
        <f>NFZ!A1</f>
        <v>ZMIANA PLANU FINANSOWEGO NARODOWEGO FUNDUSZU ZDROWIA NA 2017 ROK Z DNIA 18 LIPCA 2017 R.</v>
      </c>
      <c r="B1" s="160"/>
      <c r="C1" s="160"/>
      <c r="D1" s="160"/>
      <c r="E1" s="160"/>
      <c r="F1" s="160"/>
    </row>
    <row r="2" spans="1:6" s="26" customFormat="1" ht="33" customHeight="1" x14ac:dyDescent="0.2">
      <c r="A2" s="115" t="s">
        <v>69</v>
      </c>
      <c r="B2" s="115"/>
      <c r="C2" s="116"/>
    </row>
    <row r="3" spans="1:6" ht="33" customHeight="1" x14ac:dyDescent="0.25">
      <c r="A3" s="5"/>
      <c r="B3" s="6"/>
      <c r="C3" s="40"/>
      <c r="D3" s="40"/>
      <c r="E3" s="40" t="s">
        <v>141</v>
      </c>
      <c r="F3" s="7"/>
    </row>
    <row r="4" spans="1:6" s="117" customFormat="1" ht="65.099999999999994" customHeight="1" x14ac:dyDescent="0.2">
      <c r="A4" s="124" t="s">
        <v>118</v>
      </c>
      <c r="B4" s="124" t="s">
        <v>54</v>
      </c>
      <c r="C4" s="125" t="s">
        <v>230</v>
      </c>
      <c r="D4" s="125" t="s">
        <v>171</v>
      </c>
      <c r="E4" s="126" t="s">
        <v>172</v>
      </c>
      <c r="F4" s="126" t="s">
        <v>173</v>
      </c>
    </row>
    <row r="5" spans="1:6" s="118" customFormat="1" ht="14.25" x14ac:dyDescent="0.2">
      <c r="A5" s="127">
        <v>1</v>
      </c>
      <c r="B5" s="128">
        <v>2</v>
      </c>
      <c r="C5" s="127">
        <v>3</v>
      </c>
      <c r="D5" s="128">
        <v>4</v>
      </c>
      <c r="E5" s="127">
        <v>5</v>
      </c>
      <c r="F5" s="128">
        <v>6</v>
      </c>
    </row>
    <row r="6" spans="1:6" ht="30" customHeight="1" x14ac:dyDescent="0.2">
      <c r="A6" s="101" t="s">
        <v>0</v>
      </c>
      <c r="B6" s="73" t="s">
        <v>232</v>
      </c>
      <c r="C6" s="150">
        <f>C7+C8+C9+C14+C15+C16+C17+C18+C19+C20+C21+C22+C23+C24+C28+C29+C31+C32+C33+C34</f>
        <v>3823885</v>
      </c>
      <c r="D6" s="150">
        <f>D7+D8+D9+D14+D15+D16+D17+D18+D19+D20+D21+D22+D23+D24+D28+D29+D31+D32+D33+D34</f>
        <v>3900324</v>
      </c>
      <c r="E6" s="131">
        <f>IF(C6=D6,"-",D6-C6)</f>
        <v>76439</v>
      </c>
      <c r="F6" s="148">
        <f>IF(C6=0,"-",D6/C6)</f>
        <v>1.02</v>
      </c>
    </row>
    <row r="7" spans="1:6" ht="33" customHeight="1" x14ac:dyDescent="0.2">
      <c r="A7" s="93" t="s">
        <v>1</v>
      </c>
      <c r="B7" s="15" t="s">
        <v>119</v>
      </c>
      <c r="C7" s="36">
        <v>529361</v>
      </c>
      <c r="D7" s="14">
        <f>C7+9600</f>
        <v>538961</v>
      </c>
      <c r="E7" s="43">
        <f t="shared" ref="E7:E65" si="0">IF(C7=D7,"-",D7-C7)</f>
        <v>9600</v>
      </c>
      <c r="F7" s="44">
        <f t="shared" ref="F7:F65" si="1">IF(C7=0,"-",D7/C7)</f>
        <v>1.0181</v>
      </c>
    </row>
    <row r="8" spans="1:6" ht="33" customHeight="1" x14ac:dyDescent="0.2">
      <c r="A8" s="93" t="s">
        <v>2</v>
      </c>
      <c r="B8" s="15" t="s">
        <v>120</v>
      </c>
      <c r="C8" s="36">
        <v>296751</v>
      </c>
      <c r="D8" s="14">
        <f>C8+4200</f>
        <v>300951</v>
      </c>
      <c r="E8" s="43">
        <f t="shared" si="0"/>
        <v>4200</v>
      </c>
      <c r="F8" s="44">
        <f t="shared" si="1"/>
        <v>1.0142</v>
      </c>
    </row>
    <row r="9" spans="1:6" ht="33" customHeight="1" x14ac:dyDescent="0.2">
      <c r="A9" s="93" t="s">
        <v>3</v>
      </c>
      <c r="B9" s="15" t="s">
        <v>117</v>
      </c>
      <c r="C9" s="36">
        <v>1822561</v>
      </c>
      <c r="D9" s="14">
        <f>C9+41839-6500-2900</f>
        <v>1855000</v>
      </c>
      <c r="E9" s="43">
        <f t="shared" si="0"/>
        <v>32439</v>
      </c>
      <c r="F9" s="44">
        <f t="shared" si="1"/>
        <v>1.0178</v>
      </c>
    </row>
    <row r="10" spans="1:6" ht="31.5" customHeight="1" x14ac:dyDescent="0.2">
      <c r="A10" s="94" t="s">
        <v>56</v>
      </c>
      <c r="B10" s="89" t="s">
        <v>142</v>
      </c>
      <c r="C10" s="36">
        <v>171195</v>
      </c>
      <c r="D10" s="14">
        <f>C10+300</f>
        <v>171495</v>
      </c>
      <c r="E10" s="43">
        <f t="shared" si="0"/>
        <v>300</v>
      </c>
      <c r="F10" s="44">
        <f t="shared" si="1"/>
        <v>1.0018</v>
      </c>
    </row>
    <row r="11" spans="1:6" ht="31.5" customHeight="1" x14ac:dyDescent="0.2">
      <c r="A11" s="94" t="s">
        <v>143</v>
      </c>
      <c r="B11" s="89" t="s">
        <v>146</v>
      </c>
      <c r="C11" s="36">
        <v>159717</v>
      </c>
      <c r="D11" s="14">
        <f>C11</f>
        <v>159717</v>
      </c>
      <c r="E11" s="43" t="str">
        <f t="shared" si="0"/>
        <v>-</v>
      </c>
      <c r="F11" s="44">
        <f t="shared" si="1"/>
        <v>1</v>
      </c>
    </row>
    <row r="12" spans="1:6" ht="31.5" customHeight="1" x14ac:dyDescent="0.2">
      <c r="A12" s="94" t="s">
        <v>144</v>
      </c>
      <c r="B12" s="89" t="s">
        <v>147</v>
      </c>
      <c r="C12" s="36">
        <v>70729</v>
      </c>
      <c r="D12" s="14">
        <f>C12+200</f>
        <v>70929</v>
      </c>
      <c r="E12" s="43">
        <f t="shared" si="0"/>
        <v>200</v>
      </c>
      <c r="F12" s="44">
        <f t="shared" si="1"/>
        <v>1.0027999999999999</v>
      </c>
    </row>
    <row r="13" spans="1:6" ht="31.5" customHeight="1" x14ac:dyDescent="0.2">
      <c r="A13" s="94" t="s">
        <v>145</v>
      </c>
      <c r="B13" s="89" t="s">
        <v>148</v>
      </c>
      <c r="C13" s="36">
        <v>32596</v>
      </c>
      <c r="D13" s="14">
        <f>C13</f>
        <v>32596</v>
      </c>
      <c r="E13" s="43" t="str">
        <f t="shared" si="0"/>
        <v>-</v>
      </c>
      <c r="F13" s="44">
        <f t="shared" si="1"/>
        <v>1</v>
      </c>
    </row>
    <row r="14" spans="1:6" ht="33" customHeight="1" x14ac:dyDescent="0.2">
      <c r="A14" s="93" t="s">
        <v>4</v>
      </c>
      <c r="B14" s="15" t="s">
        <v>125</v>
      </c>
      <c r="C14" s="36">
        <v>128032</v>
      </c>
      <c r="D14" s="14">
        <f t="shared" ref="D14:D34" si="2">C14</f>
        <v>128032</v>
      </c>
      <c r="E14" s="43" t="str">
        <f t="shared" si="0"/>
        <v>-</v>
      </c>
      <c r="F14" s="44">
        <f t="shared" si="1"/>
        <v>1</v>
      </c>
    </row>
    <row r="15" spans="1:6" ht="33" customHeight="1" x14ac:dyDescent="0.2">
      <c r="A15" s="93" t="s">
        <v>5</v>
      </c>
      <c r="B15" s="15" t="s">
        <v>121</v>
      </c>
      <c r="C15" s="36">
        <v>145131</v>
      </c>
      <c r="D15" s="14">
        <f>C15+5000</f>
        <v>150131</v>
      </c>
      <c r="E15" s="43">
        <f t="shared" si="0"/>
        <v>5000</v>
      </c>
      <c r="F15" s="44">
        <f t="shared" si="1"/>
        <v>1.0345</v>
      </c>
    </row>
    <row r="16" spans="1:6" ht="33" customHeight="1" x14ac:dyDescent="0.2">
      <c r="A16" s="93" t="s">
        <v>6</v>
      </c>
      <c r="B16" s="15" t="s">
        <v>127</v>
      </c>
      <c r="C16" s="36">
        <v>109313</v>
      </c>
      <c r="D16" s="14">
        <f>C16+5000</f>
        <v>114313</v>
      </c>
      <c r="E16" s="43">
        <f t="shared" si="0"/>
        <v>5000</v>
      </c>
      <c r="F16" s="44">
        <f t="shared" si="1"/>
        <v>1.0457000000000001</v>
      </c>
    </row>
    <row r="17" spans="1:6" ht="33" customHeight="1" x14ac:dyDescent="0.2">
      <c r="A17" s="93" t="s">
        <v>7</v>
      </c>
      <c r="B17" s="15" t="s">
        <v>126</v>
      </c>
      <c r="C17" s="36">
        <v>42084</v>
      </c>
      <c r="D17" s="14">
        <f>C17+2800</f>
        <v>44884</v>
      </c>
      <c r="E17" s="43">
        <f t="shared" si="0"/>
        <v>2800</v>
      </c>
      <c r="F17" s="44">
        <f t="shared" si="1"/>
        <v>1.0665</v>
      </c>
    </row>
    <row r="18" spans="1:6" ht="33" customHeight="1" x14ac:dyDescent="0.2">
      <c r="A18" s="93" t="s">
        <v>8</v>
      </c>
      <c r="B18" s="15" t="s">
        <v>122</v>
      </c>
      <c r="C18" s="36">
        <v>113344</v>
      </c>
      <c r="D18" s="14">
        <f t="shared" si="2"/>
        <v>113344</v>
      </c>
      <c r="E18" s="43" t="str">
        <f t="shared" si="0"/>
        <v>-</v>
      </c>
      <c r="F18" s="44">
        <f t="shared" si="1"/>
        <v>1</v>
      </c>
    </row>
    <row r="19" spans="1:6" ht="33" customHeight="1" x14ac:dyDescent="0.2">
      <c r="A19" s="93" t="s">
        <v>9</v>
      </c>
      <c r="B19" s="15" t="s">
        <v>123</v>
      </c>
      <c r="C19" s="36">
        <v>34670</v>
      </c>
      <c r="D19" s="14">
        <f t="shared" si="2"/>
        <v>34670</v>
      </c>
      <c r="E19" s="43" t="str">
        <f t="shared" si="0"/>
        <v>-</v>
      </c>
      <c r="F19" s="44">
        <f t="shared" si="1"/>
        <v>1</v>
      </c>
    </row>
    <row r="20" spans="1:6" ht="33" customHeight="1" x14ac:dyDescent="0.2">
      <c r="A20" s="93" t="s">
        <v>10</v>
      </c>
      <c r="B20" s="15" t="s">
        <v>128</v>
      </c>
      <c r="C20" s="36">
        <v>3286</v>
      </c>
      <c r="D20" s="14">
        <f t="shared" si="2"/>
        <v>3286</v>
      </c>
      <c r="E20" s="43" t="str">
        <f t="shared" si="0"/>
        <v>-</v>
      </c>
      <c r="F20" s="44">
        <f t="shared" si="1"/>
        <v>1</v>
      </c>
    </row>
    <row r="21" spans="1:6" ht="46.5" customHeight="1" x14ac:dyDescent="0.2">
      <c r="A21" s="93" t="s">
        <v>11</v>
      </c>
      <c r="B21" s="15" t="s">
        <v>124</v>
      </c>
      <c r="C21" s="36">
        <v>8056</v>
      </c>
      <c r="D21" s="14">
        <f t="shared" si="2"/>
        <v>8056</v>
      </c>
      <c r="E21" s="43" t="str">
        <f t="shared" si="0"/>
        <v>-</v>
      </c>
      <c r="F21" s="44">
        <f t="shared" si="1"/>
        <v>1</v>
      </c>
    </row>
    <row r="22" spans="1:6" ht="33" customHeight="1" x14ac:dyDescent="0.2">
      <c r="A22" s="93" t="s">
        <v>12</v>
      </c>
      <c r="B22" s="15" t="s">
        <v>165</v>
      </c>
      <c r="C22" s="36">
        <v>106015</v>
      </c>
      <c r="D22" s="14">
        <f t="shared" si="2"/>
        <v>106015</v>
      </c>
      <c r="E22" s="43" t="str">
        <f t="shared" si="0"/>
        <v>-</v>
      </c>
      <c r="F22" s="44">
        <f t="shared" si="1"/>
        <v>1</v>
      </c>
    </row>
    <row r="23" spans="1:6" ht="33" customHeight="1" x14ac:dyDescent="0.2">
      <c r="A23" s="93" t="s">
        <v>13</v>
      </c>
      <c r="B23" s="15" t="s">
        <v>149</v>
      </c>
      <c r="C23" s="36">
        <v>48447</v>
      </c>
      <c r="D23" s="14">
        <f>C23+8000</f>
        <v>56447</v>
      </c>
      <c r="E23" s="43">
        <f t="shared" si="0"/>
        <v>8000</v>
      </c>
      <c r="F23" s="44">
        <f t="shared" si="1"/>
        <v>1.1651</v>
      </c>
    </row>
    <row r="24" spans="1:6" ht="33" customHeight="1" x14ac:dyDescent="0.2">
      <c r="A24" s="95" t="s">
        <v>14</v>
      </c>
      <c r="B24" s="35" t="s">
        <v>222</v>
      </c>
      <c r="C24" s="36">
        <v>402252</v>
      </c>
      <c r="D24" s="36">
        <f>SUM(D25:D27)</f>
        <v>402252</v>
      </c>
      <c r="E24" s="43" t="str">
        <f t="shared" si="0"/>
        <v>-</v>
      </c>
      <c r="F24" s="44">
        <f t="shared" si="1"/>
        <v>1</v>
      </c>
    </row>
    <row r="25" spans="1:6" ht="37.5" x14ac:dyDescent="0.2">
      <c r="A25" s="94" t="s">
        <v>129</v>
      </c>
      <c r="B25" s="89" t="s">
        <v>151</v>
      </c>
      <c r="C25" s="36">
        <v>398752</v>
      </c>
      <c r="D25" s="14">
        <f t="shared" si="2"/>
        <v>398752</v>
      </c>
      <c r="E25" s="43" t="str">
        <f t="shared" si="0"/>
        <v>-</v>
      </c>
      <c r="F25" s="44">
        <f t="shared" si="1"/>
        <v>1</v>
      </c>
    </row>
    <row r="26" spans="1:6" ht="31.5" customHeight="1" x14ac:dyDescent="0.2">
      <c r="A26" s="94" t="s">
        <v>150</v>
      </c>
      <c r="B26" s="89" t="s">
        <v>153</v>
      </c>
      <c r="C26" s="36">
        <v>2500</v>
      </c>
      <c r="D26" s="14">
        <f t="shared" si="2"/>
        <v>2500</v>
      </c>
      <c r="E26" s="43" t="str">
        <f t="shared" si="0"/>
        <v>-</v>
      </c>
      <c r="F26" s="44">
        <f t="shared" si="1"/>
        <v>1</v>
      </c>
    </row>
    <row r="27" spans="1:6" ht="37.5" x14ac:dyDescent="0.2">
      <c r="A27" s="94" t="s">
        <v>154</v>
      </c>
      <c r="B27" s="89" t="s">
        <v>152</v>
      </c>
      <c r="C27" s="36">
        <v>1000</v>
      </c>
      <c r="D27" s="14">
        <f t="shared" si="2"/>
        <v>1000</v>
      </c>
      <c r="E27" s="43" t="str">
        <f t="shared" si="0"/>
        <v>-</v>
      </c>
      <c r="F27" s="44">
        <f t="shared" si="1"/>
        <v>1</v>
      </c>
    </row>
    <row r="28" spans="1:6" ht="33" customHeight="1" x14ac:dyDescent="0.2">
      <c r="A28" s="96" t="s">
        <v>15</v>
      </c>
      <c r="B28" s="16" t="s">
        <v>113</v>
      </c>
      <c r="C28" s="36">
        <v>0</v>
      </c>
      <c r="D28" s="14">
        <f t="shared" si="2"/>
        <v>0</v>
      </c>
      <c r="E28" s="43" t="str">
        <f t="shared" si="0"/>
        <v>-</v>
      </c>
      <c r="F28" s="44" t="str">
        <f t="shared" si="1"/>
        <v>-</v>
      </c>
    </row>
    <row r="29" spans="1:6" ht="33" customHeight="1" x14ac:dyDescent="0.2">
      <c r="A29" s="96" t="s">
        <v>110</v>
      </c>
      <c r="B29" s="17" t="s">
        <v>155</v>
      </c>
      <c r="C29" s="36">
        <v>0</v>
      </c>
      <c r="D29" s="14">
        <f>C29+9400</f>
        <v>9400</v>
      </c>
      <c r="E29" s="43">
        <f t="shared" si="0"/>
        <v>9400</v>
      </c>
      <c r="F29" s="44" t="str">
        <f t="shared" si="1"/>
        <v>-</v>
      </c>
    </row>
    <row r="30" spans="1:6" ht="31.5" customHeight="1" x14ac:dyDescent="0.2">
      <c r="A30" s="94" t="s">
        <v>156</v>
      </c>
      <c r="B30" s="89" t="s">
        <v>167</v>
      </c>
      <c r="C30" s="36">
        <v>0</v>
      </c>
      <c r="D30" s="14">
        <f t="shared" si="2"/>
        <v>0</v>
      </c>
      <c r="E30" s="43" t="str">
        <f t="shared" si="0"/>
        <v>-</v>
      </c>
      <c r="F30" s="44" t="str">
        <f t="shared" si="1"/>
        <v>-</v>
      </c>
    </row>
    <row r="31" spans="1:6" ht="33" customHeight="1" x14ac:dyDescent="0.2">
      <c r="A31" s="96" t="s">
        <v>111</v>
      </c>
      <c r="B31" s="17" t="s">
        <v>114</v>
      </c>
      <c r="C31" s="36">
        <v>0</v>
      </c>
      <c r="D31" s="14">
        <f t="shared" si="2"/>
        <v>0</v>
      </c>
      <c r="E31" s="43" t="str">
        <f t="shared" si="0"/>
        <v>-</v>
      </c>
      <c r="F31" s="44" t="str">
        <f t="shared" si="1"/>
        <v>-</v>
      </c>
    </row>
    <row r="32" spans="1:6" ht="33" customHeight="1" x14ac:dyDescent="0.2">
      <c r="A32" s="96" t="s">
        <v>112</v>
      </c>
      <c r="B32" s="17" t="s">
        <v>166</v>
      </c>
      <c r="C32" s="36">
        <v>28013</v>
      </c>
      <c r="D32" s="14">
        <f t="shared" si="2"/>
        <v>28013</v>
      </c>
      <c r="E32" s="43" t="str">
        <f t="shared" si="0"/>
        <v>-</v>
      </c>
      <c r="F32" s="44">
        <f t="shared" si="1"/>
        <v>1</v>
      </c>
    </row>
    <row r="33" spans="1:6" ht="42.75" customHeight="1" x14ac:dyDescent="0.2">
      <c r="A33" s="96" t="s">
        <v>223</v>
      </c>
      <c r="B33" s="17" t="s">
        <v>224</v>
      </c>
      <c r="C33" s="36">
        <v>0</v>
      </c>
      <c r="D33" s="14">
        <f t="shared" si="2"/>
        <v>0</v>
      </c>
      <c r="E33" s="43" t="str">
        <f>IF(C33=D33,"-",D33-C33)</f>
        <v>-</v>
      </c>
      <c r="F33" s="44" t="str">
        <f>IF(C33=0,"-",D33/C33)</f>
        <v>-</v>
      </c>
    </row>
    <row r="34" spans="1:6" ht="33" customHeight="1" x14ac:dyDescent="0.2">
      <c r="A34" s="96" t="s">
        <v>233</v>
      </c>
      <c r="B34" s="17" t="s">
        <v>234</v>
      </c>
      <c r="C34" s="36">
        <v>6569</v>
      </c>
      <c r="D34" s="14">
        <f t="shared" si="2"/>
        <v>6569</v>
      </c>
      <c r="E34" s="43" t="str">
        <f>IF(C34=D34,"-",D34-C34)</f>
        <v>-</v>
      </c>
      <c r="F34" s="44">
        <f>IF(C34=0,"-",D34/C34)</f>
        <v>1</v>
      </c>
    </row>
    <row r="35" spans="1:6" s="3" customFormat="1" ht="31.5" customHeight="1" x14ac:dyDescent="0.2">
      <c r="A35" s="97" t="s">
        <v>58</v>
      </c>
      <c r="B35" s="18" t="s">
        <v>59</v>
      </c>
      <c r="C35" s="37">
        <v>0</v>
      </c>
      <c r="D35" s="42">
        <f>C35</f>
        <v>0</v>
      </c>
      <c r="E35" s="8" t="str">
        <f t="shared" si="0"/>
        <v>-</v>
      </c>
      <c r="F35" s="45" t="str">
        <f t="shared" si="1"/>
        <v>-</v>
      </c>
    </row>
    <row r="36" spans="1:6" s="3" customFormat="1" ht="31.5" customHeight="1" x14ac:dyDescent="0.2">
      <c r="A36" s="97" t="s">
        <v>57</v>
      </c>
      <c r="B36" s="18" t="s">
        <v>60</v>
      </c>
      <c r="C36" s="37">
        <v>109065</v>
      </c>
      <c r="D36" s="42">
        <f>C36</f>
        <v>109065</v>
      </c>
      <c r="E36" s="8" t="str">
        <f t="shared" si="0"/>
        <v>-</v>
      </c>
      <c r="F36" s="45">
        <f t="shared" si="1"/>
        <v>1</v>
      </c>
    </row>
    <row r="37" spans="1:6" s="3" customFormat="1" ht="40.5" x14ac:dyDescent="0.2">
      <c r="A37" s="97" t="s">
        <v>235</v>
      </c>
      <c r="B37" s="18" t="s">
        <v>236</v>
      </c>
      <c r="C37" s="37">
        <v>31154</v>
      </c>
      <c r="D37" s="42">
        <f>C37</f>
        <v>31154</v>
      </c>
      <c r="E37" s="8" t="str">
        <f t="shared" si="0"/>
        <v>-</v>
      </c>
      <c r="F37" s="45">
        <f t="shared" si="1"/>
        <v>1</v>
      </c>
    </row>
    <row r="38" spans="1:6" s="3" customFormat="1" ht="42.75" customHeight="1" x14ac:dyDescent="0.2">
      <c r="A38" s="97" t="s">
        <v>157</v>
      </c>
      <c r="B38" s="18" t="s">
        <v>158</v>
      </c>
      <c r="C38" s="37">
        <f>C11+C13+C24+C30</f>
        <v>594565</v>
      </c>
      <c r="D38" s="37">
        <f>D11+D13+D24+D30</f>
        <v>594565</v>
      </c>
      <c r="E38" s="8" t="str">
        <f t="shared" si="0"/>
        <v>-</v>
      </c>
      <c r="F38" s="45">
        <f t="shared" si="1"/>
        <v>1</v>
      </c>
    </row>
    <row r="39" spans="1:6" ht="30" customHeight="1" x14ac:dyDescent="0.2">
      <c r="A39" s="151" t="s">
        <v>16</v>
      </c>
      <c r="B39" s="152" t="s">
        <v>228</v>
      </c>
      <c r="C39" s="135">
        <f>C40+C41+C42+C50+C52+C58+C59+C57</f>
        <v>25858</v>
      </c>
      <c r="D39" s="135">
        <f>D40+D41+D42+D50+D52+D58+D59+D57</f>
        <v>25858</v>
      </c>
      <c r="E39" s="131" t="str">
        <f t="shared" si="0"/>
        <v>-</v>
      </c>
      <c r="F39" s="153">
        <f t="shared" si="1"/>
        <v>1</v>
      </c>
    </row>
    <row r="40" spans="1:6" ht="28.5" customHeight="1" x14ac:dyDescent="0.2">
      <c r="A40" s="96" t="s">
        <v>17</v>
      </c>
      <c r="B40" s="20" t="s">
        <v>18</v>
      </c>
      <c r="C40" s="36">
        <v>1350</v>
      </c>
      <c r="D40" s="38">
        <f>C40</f>
        <v>1350</v>
      </c>
      <c r="E40" s="43" t="str">
        <f t="shared" si="0"/>
        <v>-</v>
      </c>
      <c r="F40" s="44">
        <f t="shared" si="1"/>
        <v>1</v>
      </c>
    </row>
    <row r="41" spans="1:6" ht="28.5" customHeight="1" x14ac:dyDescent="0.2">
      <c r="A41" s="96" t="s">
        <v>19</v>
      </c>
      <c r="B41" s="20" t="s">
        <v>20</v>
      </c>
      <c r="C41" s="36">
        <v>2816</v>
      </c>
      <c r="D41" s="38">
        <f t="shared" ref="D41:D59" si="3">C41</f>
        <v>2816</v>
      </c>
      <c r="E41" s="43" t="str">
        <f t="shared" si="0"/>
        <v>-</v>
      </c>
      <c r="F41" s="44">
        <f t="shared" si="1"/>
        <v>1</v>
      </c>
    </row>
    <row r="42" spans="1:6" ht="28.5" customHeight="1" x14ac:dyDescent="0.2">
      <c r="A42" s="96" t="s">
        <v>21</v>
      </c>
      <c r="B42" s="21" t="s">
        <v>229</v>
      </c>
      <c r="C42" s="38">
        <f>C43+C45+C46+C47+C48+C49</f>
        <v>119</v>
      </c>
      <c r="D42" s="38">
        <f>D43+D45+D46+D47+D48+D49</f>
        <v>119</v>
      </c>
      <c r="E42" s="43" t="str">
        <f t="shared" si="0"/>
        <v>-</v>
      </c>
      <c r="F42" s="44">
        <f t="shared" si="1"/>
        <v>1</v>
      </c>
    </row>
    <row r="43" spans="1:6" ht="28.5" customHeight="1" x14ac:dyDescent="0.2">
      <c r="A43" s="99" t="s">
        <v>39</v>
      </c>
      <c r="B43" s="90" t="s">
        <v>32</v>
      </c>
      <c r="C43" s="36">
        <v>27</v>
      </c>
      <c r="D43" s="38">
        <f t="shared" si="3"/>
        <v>27</v>
      </c>
      <c r="E43" s="43" t="str">
        <f t="shared" si="0"/>
        <v>-</v>
      </c>
      <c r="F43" s="44">
        <f t="shared" si="1"/>
        <v>1</v>
      </c>
    </row>
    <row r="44" spans="1:6" ht="28.5" customHeight="1" x14ac:dyDescent="0.2">
      <c r="A44" s="99" t="s">
        <v>40</v>
      </c>
      <c r="B44" s="91" t="s">
        <v>33</v>
      </c>
      <c r="C44" s="36">
        <v>27</v>
      </c>
      <c r="D44" s="38">
        <f t="shared" si="3"/>
        <v>27</v>
      </c>
      <c r="E44" s="43" t="str">
        <f t="shared" si="0"/>
        <v>-</v>
      </c>
      <c r="F44" s="44">
        <f t="shared" si="1"/>
        <v>1</v>
      </c>
    </row>
    <row r="45" spans="1:6" ht="28.5" customHeight="1" x14ac:dyDescent="0.2">
      <c r="A45" s="99" t="s">
        <v>41</v>
      </c>
      <c r="B45" s="90" t="s">
        <v>34</v>
      </c>
      <c r="C45" s="36">
        <v>13</v>
      </c>
      <c r="D45" s="38">
        <f t="shared" si="3"/>
        <v>13</v>
      </c>
      <c r="E45" s="43" t="str">
        <f t="shared" si="0"/>
        <v>-</v>
      </c>
      <c r="F45" s="44">
        <f t="shared" si="1"/>
        <v>1</v>
      </c>
    </row>
    <row r="46" spans="1:6" ht="28.5" customHeight="1" x14ac:dyDescent="0.2">
      <c r="A46" s="99" t="s">
        <v>42</v>
      </c>
      <c r="B46" s="90" t="s">
        <v>35</v>
      </c>
      <c r="C46" s="36">
        <v>0</v>
      </c>
      <c r="D46" s="38">
        <f t="shared" si="3"/>
        <v>0</v>
      </c>
      <c r="E46" s="43" t="str">
        <f t="shared" si="0"/>
        <v>-</v>
      </c>
      <c r="F46" s="44" t="str">
        <f t="shared" si="1"/>
        <v>-</v>
      </c>
    </row>
    <row r="47" spans="1:6" ht="28.5" customHeight="1" x14ac:dyDescent="0.2">
      <c r="A47" s="99" t="s">
        <v>43</v>
      </c>
      <c r="B47" s="90" t="s">
        <v>36</v>
      </c>
      <c r="C47" s="36">
        <v>0</v>
      </c>
      <c r="D47" s="38">
        <f t="shared" si="3"/>
        <v>0</v>
      </c>
      <c r="E47" s="43" t="str">
        <f t="shared" si="0"/>
        <v>-</v>
      </c>
      <c r="F47" s="44" t="str">
        <f t="shared" si="1"/>
        <v>-</v>
      </c>
    </row>
    <row r="48" spans="1:6" ht="28.5" customHeight="1" x14ac:dyDescent="0.2">
      <c r="A48" s="99" t="s">
        <v>44</v>
      </c>
      <c r="B48" s="90" t="s">
        <v>37</v>
      </c>
      <c r="C48" s="36">
        <v>43</v>
      </c>
      <c r="D48" s="38">
        <f t="shared" si="3"/>
        <v>43</v>
      </c>
      <c r="E48" s="43" t="str">
        <f t="shared" si="0"/>
        <v>-</v>
      </c>
      <c r="F48" s="44">
        <f t="shared" si="1"/>
        <v>1</v>
      </c>
    </row>
    <row r="49" spans="1:6" ht="28.5" customHeight="1" x14ac:dyDescent="0.2">
      <c r="A49" s="99" t="s">
        <v>45</v>
      </c>
      <c r="B49" s="90" t="s">
        <v>38</v>
      </c>
      <c r="C49" s="36">
        <v>36</v>
      </c>
      <c r="D49" s="38">
        <f t="shared" si="3"/>
        <v>36</v>
      </c>
      <c r="E49" s="43" t="str">
        <f t="shared" si="0"/>
        <v>-</v>
      </c>
      <c r="F49" s="44">
        <f t="shared" si="1"/>
        <v>1</v>
      </c>
    </row>
    <row r="50" spans="1:6" ht="28.5" customHeight="1" x14ac:dyDescent="0.2">
      <c r="A50" s="96" t="s">
        <v>22</v>
      </c>
      <c r="B50" s="20" t="s">
        <v>159</v>
      </c>
      <c r="C50" s="36">
        <v>14538</v>
      </c>
      <c r="D50" s="38">
        <f t="shared" si="3"/>
        <v>14538</v>
      </c>
      <c r="E50" s="43" t="str">
        <f t="shared" si="0"/>
        <v>-</v>
      </c>
      <c r="F50" s="44">
        <f t="shared" si="1"/>
        <v>1</v>
      </c>
    </row>
    <row r="51" spans="1:6" ht="28.5" customHeight="1" x14ac:dyDescent="0.2">
      <c r="A51" s="99" t="s">
        <v>160</v>
      </c>
      <c r="B51" s="90" t="s">
        <v>161</v>
      </c>
      <c r="C51" s="36">
        <v>10</v>
      </c>
      <c r="D51" s="38">
        <f t="shared" si="3"/>
        <v>10</v>
      </c>
      <c r="E51" s="43" t="str">
        <f t="shared" si="0"/>
        <v>-</v>
      </c>
      <c r="F51" s="44">
        <f t="shared" si="1"/>
        <v>1</v>
      </c>
    </row>
    <row r="52" spans="1:6" ht="28.5" customHeight="1" x14ac:dyDescent="0.2">
      <c r="A52" s="96" t="s">
        <v>23</v>
      </c>
      <c r="B52" s="21" t="s">
        <v>227</v>
      </c>
      <c r="C52" s="34">
        <f>C53+C54+C55+C56</f>
        <v>3268</v>
      </c>
      <c r="D52" s="34">
        <f>D53+D54+D55+D56</f>
        <v>3268</v>
      </c>
      <c r="E52" s="43" t="str">
        <f t="shared" si="0"/>
        <v>-</v>
      </c>
      <c r="F52" s="44">
        <f t="shared" si="1"/>
        <v>1</v>
      </c>
    </row>
    <row r="53" spans="1:6" ht="28.5" customHeight="1" x14ac:dyDescent="0.2">
      <c r="A53" s="99" t="s">
        <v>50</v>
      </c>
      <c r="B53" s="90" t="s">
        <v>46</v>
      </c>
      <c r="C53" s="36">
        <v>2493</v>
      </c>
      <c r="D53" s="38">
        <f t="shared" si="3"/>
        <v>2493</v>
      </c>
      <c r="E53" s="43" t="str">
        <f t="shared" si="0"/>
        <v>-</v>
      </c>
      <c r="F53" s="44">
        <f t="shared" si="1"/>
        <v>1</v>
      </c>
    </row>
    <row r="54" spans="1:6" ht="28.5" customHeight="1" x14ac:dyDescent="0.2">
      <c r="A54" s="99" t="s">
        <v>51</v>
      </c>
      <c r="B54" s="90" t="s">
        <v>47</v>
      </c>
      <c r="C54" s="36">
        <v>356</v>
      </c>
      <c r="D54" s="38">
        <f t="shared" si="3"/>
        <v>356</v>
      </c>
      <c r="E54" s="43" t="str">
        <f t="shared" si="0"/>
        <v>-</v>
      </c>
      <c r="F54" s="44">
        <f t="shared" si="1"/>
        <v>1</v>
      </c>
    </row>
    <row r="55" spans="1:6" ht="28.5" customHeight="1" x14ac:dyDescent="0.2">
      <c r="A55" s="99" t="s">
        <v>52</v>
      </c>
      <c r="B55" s="90" t="s">
        <v>48</v>
      </c>
      <c r="C55" s="36">
        <v>0</v>
      </c>
      <c r="D55" s="38">
        <f t="shared" si="3"/>
        <v>0</v>
      </c>
      <c r="E55" s="43" t="str">
        <f t="shared" si="0"/>
        <v>-</v>
      </c>
      <c r="F55" s="44" t="str">
        <f t="shared" si="1"/>
        <v>-</v>
      </c>
    </row>
    <row r="56" spans="1:6" ht="28.5" customHeight="1" x14ac:dyDescent="0.2">
      <c r="A56" s="99" t="s">
        <v>53</v>
      </c>
      <c r="B56" s="90" t="s">
        <v>49</v>
      </c>
      <c r="C56" s="36">
        <v>419</v>
      </c>
      <c r="D56" s="38">
        <f t="shared" si="3"/>
        <v>419</v>
      </c>
      <c r="E56" s="43" t="str">
        <f t="shared" si="0"/>
        <v>-</v>
      </c>
      <c r="F56" s="44">
        <f t="shared" si="1"/>
        <v>1</v>
      </c>
    </row>
    <row r="57" spans="1:6" ht="28.5" customHeight="1" x14ac:dyDescent="0.2">
      <c r="A57" s="96" t="s">
        <v>24</v>
      </c>
      <c r="B57" s="20" t="s">
        <v>25</v>
      </c>
      <c r="C57" s="36">
        <v>0</v>
      </c>
      <c r="D57" s="38">
        <f t="shared" si="3"/>
        <v>0</v>
      </c>
      <c r="E57" s="43" t="str">
        <f t="shared" si="0"/>
        <v>-</v>
      </c>
      <c r="F57" s="44" t="str">
        <f t="shared" si="1"/>
        <v>-</v>
      </c>
    </row>
    <row r="58" spans="1:6" ht="28.5" customHeight="1" x14ac:dyDescent="0.2">
      <c r="A58" s="96" t="s">
        <v>26</v>
      </c>
      <c r="B58" s="20" t="s">
        <v>162</v>
      </c>
      <c r="C58" s="36">
        <v>3500</v>
      </c>
      <c r="D58" s="38">
        <f t="shared" si="3"/>
        <v>3500</v>
      </c>
      <c r="E58" s="43" t="str">
        <f t="shared" si="0"/>
        <v>-</v>
      </c>
      <c r="F58" s="46">
        <f t="shared" si="1"/>
        <v>1</v>
      </c>
    </row>
    <row r="59" spans="1:6" ht="28.5" customHeight="1" x14ac:dyDescent="0.2">
      <c r="A59" s="96" t="s">
        <v>27</v>
      </c>
      <c r="B59" s="20" t="s">
        <v>28</v>
      </c>
      <c r="C59" s="36">
        <v>267</v>
      </c>
      <c r="D59" s="38">
        <f t="shared" si="3"/>
        <v>267</v>
      </c>
      <c r="E59" s="43" t="str">
        <f t="shared" si="0"/>
        <v>-</v>
      </c>
      <c r="F59" s="44">
        <f t="shared" si="1"/>
        <v>1</v>
      </c>
    </row>
    <row r="60" spans="1:6" ht="30" customHeight="1" x14ac:dyDescent="0.2">
      <c r="A60" s="142" t="s">
        <v>135</v>
      </c>
      <c r="B60" s="143" t="s">
        <v>163</v>
      </c>
      <c r="C60" s="154">
        <f>C61+C62+C63+C64</f>
        <v>4000</v>
      </c>
      <c r="D60" s="154">
        <f>D61+D62+D63+D64</f>
        <v>4000</v>
      </c>
      <c r="E60" s="131" t="str">
        <f t="shared" si="0"/>
        <v>-</v>
      </c>
      <c r="F60" s="155">
        <f t="shared" si="1"/>
        <v>1</v>
      </c>
    </row>
    <row r="61" spans="1:6" ht="42" customHeight="1" x14ac:dyDescent="0.2">
      <c r="A61" s="96" t="s">
        <v>101</v>
      </c>
      <c r="B61" s="20" t="s">
        <v>115</v>
      </c>
      <c r="C61" s="36">
        <v>0</v>
      </c>
      <c r="D61" s="38">
        <f>C61</f>
        <v>0</v>
      </c>
      <c r="E61" s="34" t="str">
        <f t="shared" si="0"/>
        <v>-</v>
      </c>
      <c r="F61" s="44" t="str">
        <f t="shared" si="1"/>
        <v>-</v>
      </c>
    </row>
    <row r="62" spans="1:6" ht="31.5" customHeight="1" x14ac:dyDescent="0.2">
      <c r="A62" s="96" t="s">
        <v>30</v>
      </c>
      <c r="B62" s="20" t="s">
        <v>55</v>
      </c>
      <c r="C62" s="36">
        <v>3000</v>
      </c>
      <c r="D62" s="38">
        <f>C62</f>
        <v>3000</v>
      </c>
      <c r="E62" s="34" t="str">
        <f t="shared" si="0"/>
        <v>-</v>
      </c>
      <c r="F62" s="44">
        <f t="shared" si="1"/>
        <v>1</v>
      </c>
    </row>
    <row r="63" spans="1:6" ht="31.5" customHeight="1" x14ac:dyDescent="0.2">
      <c r="A63" s="96" t="s">
        <v>31</v>
      </c>
      <c r="B63" s="20" t="s">
        <v>103</v>
      </c>
      <c r="C63" s="36">
        <v>0</v>
      </c>
      <c r="D63" s="38">
        <f>C63</f>
        <v>0</v>
      </c>
      <c r="E63" s="34" t="str">
        <f t="shared" si="0"/>
        <v>-</v>
      </c>
      <c r="F63" s="44" t="str">
        <f t="shared" si="1"/>
        <v>-</v>
      </c>
    </row>
    <row r="64" spans="1:6" ht="31.5" customHeight="1" x14ac:dyDescent="0.2">
      <c r="A64" s="96" t="s">
        <v>102</v>
      </c>
      <c r="B64" s="20" t="s">
        <v>104</v>
      </c>
      <c r="C64" s="36">
        <v>1000</v>
      </c>
      <c r="D64" s="38">
        <f>C64</f>
        <v>1000</v>
      </c>
      <c r="E64" s="34" t="str">
        <f t="shared" si="0"/>
        <v>-</v>
      </c>
      <c r="F64" s="44">
        <f t="shared" si="1"/>
        <v>1</v>
      </c>
    </row>
    <row r="65" spans="1:6" ht="32.25" customHeight="1" x14ac:dyDescent="0.2">
      <c r="A65" s="142" t="s">
        <v>137</v>
      </c>
      <c r="B65" s="143" t="s">
        <v>116</v>
      </c>
      <c r="C65" s="154">
        <v>810</v>
      </c>
      <c r="D65" s="154">
        <f>C65</f>
        <v>810</v>
      </c>
      <c r="E65" s="131" t="str">
        <f t="shared" si="0"/>
        <v>-</v>
      </c>
      <c r="F65" s="155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5.7109375" style="2" customWidth="1"/>
    <col min="4" max="4" width="26.85546875" style="2" customWidth="1"/>
    <col min="5" max="5" width="25.140625" style="2" customWidth="1"/>
    <col min="6" max="6" width="20.7109375" style="2" customWidth="1"/>
    <col min="7" max="16384" width="9.140625" style="2"/>
  </cols>
  <sheetData>
    <row r="1" spans="1:6" s="24" customFormat="1" ht="46.5" customHeight="1" x14ac:dyDescent="0.2">
      <c r="A1" s="160" t="str">
        <f>NFZ!A1</f>
        <v>ZMIANA PLANU FINANSOWEGO NARODOWEGO FUNDUSZU ZDROWIA NA 2017 ROK Z DNIA 18 LIPCA 2017 R.</v>
      </c>
      <c r="B1" s="160"/>
      <c r="C1" s="160"/>
      <c r="D1" s="160"/>
      <c r="E1" s="160"/>
      <c r="F1" s="160"/>
    </row>
    <row r="2" spans="1:6" s="26" customFormat="1" ht="33" customHeight="1" x14ac:dyDescent="0.2">
      <c r="A2" s="115" t="s">
        <v>70</v>
      </c>
      <c r="B2" s="115"/>
      <c r="C2" s="116"/>
    </row>
    <row r="3" spans="1:6" ht="33" customHeight="1" x14ac:dyDescent="0.25">
      <c r="A3" s="5"/>
      <c r="B3" s="6"/>
      <c r="C3" s="40"/>
      <c r="D3" s="40"/>
      <c r="E3" s="40" t="s">
        <v>141</v>
      </c>
      <c r="F3" s="7"/>
    </row>
    <row r="4" spans="1:6" s="117" customFormat="1" ht="65.099999999999994" customHeight="1" x14ac:dyDescent="0.2">
      <c r="A4" s="124" t="s">
        <v>118</v>
      </c>
      <c r="B4" s="124" t="s">
        <v>54</v>
      </c>
      <c r="C4" s="125" t="s">
        <v>230</v>
      </c>
      <c r="D4" s="125" t="s">
        <v>171</v>
      </c>
      <c r="E4" s="126" t="s">
        <v>172</v>
      </c>
      <c r="F4" s="126" t="s">
        <v>173</v>
      </c>
    </row>
    <row r="5" spans="1:6" s="118" customFormat="1" ht="14.25" x14ac:dyDescent="0.2">
      <c r="A5" s="127">
        <v>1</v>
      </c>
      <c r="B5" s="128">
        <v>2</v>
      </c>
      <c r="C5" s="127">
        <v>3</v>
      </c>
      <c r="D5" s="128">
        <v>4</v>
      </c>
      <c r="E5" s="127">
        <v>5</v>
      </c>
      <c r="F5" s="128">
        <v>6</v>
      </c>
    </row>
    <row r="6" spans="1:6" ht="30" customHeight="1" x14ac:dyDescent="0.2">
      <c r="A6" s="101" t="s">
        <v>0</v>
      </c>
      <c r="B6" s="73" t="s">
        <v>232</v>
      </c>
      <c r="C6" s="150">
        <f>C7+C8+C9+C14+C15+C16+C17+C18+C19+C20+C21+C22+C23+C24+C28+C29+C31+C32+C33+C34</f>
        <v>2174303</v>
      </c>
      <c r="D6" s="150">
        <f>D7+D8+D9+D14+D15+D16+D17+D18+D19+D20+D21+D22+D23+D24+D28+D29+D31+D32+D33+D34</f>
        <v>2217710</v>
      </c>
      <c r="E6" s="131">
        <f>IF(C6=D6,"-",D6-C6)</f>
        <v>43407</v>
      </c>
      <c r="F6" s="148">
        <f>IF(C6=0,"-",D6/C6)</f>
        <v>1.02</v>
      </c>
    </row>
    <row r="7" spans="1:6" ht="33" customHeight="1" x14ac:dyDescent="0.2">
      <c r="A7" s="93" t="s">
        <v>1</v>
      </c>
      <c r="B7" s="15" t="s">
        <v>119</v>
      </c>
      <c r="C7" s="36">
        <v>301713</v>
      </c>
      <c r="D7" s="14">
        <f>C7</f>
        <v>301713</v>
      </c>
      <c r="E7" s="43" t="str">
        <f t="shared" ref="E7:E65" si="0">IF(C7=D7,"-",D7-C7)</f>
        <v>-</v>
      </c>
      <c r="F7" s="44">
        <f t="shared" ref="F7:F65" si="1">IF(C7=0,"-",D7/C7)</f>
        <v>1</v>
      </c>
    </row>
    <row r="8" spans="1:6" ht="33" customHeight="1" x14ac:dyDescent="0.2">
      <c r="A8" s="93" t="s">
        <v>2</v>
      </c>
      <c r="B8" s="15" t="s">
        <v>120</v>
      </c>
      <c r="C8" s="36">
        <v>197783</v>
      </c>
      <c r="D8" s="14">
        <f>C8</f>
        <v>197783</v>
      </c>
      <c r="E8" s="43" t="str">
        <f t="shared" si="0"/>
        <v>-</v>
      </c>
      <c r="F8" s="44">
        <f t="shared" si="1"/>
        <v>1</v>
      </c>
    </row>
    <row r="9" spans="1:6" ht="33" customHeight="1" x14ac:dyDescent="0.2">
      <c r="A9" s="93" t="s">
        <v>3</v>
      </c>
      <c r="B9" s="15" t="s">
        <v>117</v>
      </c>
      <c r="C9" s="36">
        <v>1050048</v>
      </c>
      <c r="D9" s="14">
        <f>C9+43407</f>
        <v>1093455</v>
      </c>
      <c r="E9" s="43">
        <f t="shared" si="0"/>
        <v>43407</v>
      </c>
      <c r="F9" s="44">
        <f t="shared" si="1"/>
        <v>1.0412999999999999</v>
      </c>
    </row>
    <row r="10" spans="1:6" ht="31.5" customHeight="1" x14ac:dyDescent="0.2">
      <c r="A10" s="94" t="s">
        <v>56</v>
      </c>
      <c r="B10" s="89" t="s">
        <v>142</v>
      </c>
      <c r="C10" s="36">
        <v>91428</v>
      </c>
      <c r="D10" s="14">
        <f t="shared" ref="D10:D34" si="2">C10</f>
        <v>91428</v>
      </c>
      <c r="E10" s="43" t="str">
        <f t="shared" si="0"/>
        <v>-</v>
      </c>
      <c r="F10" s="44">
        <f t="shared" si="1"/>
        <v>1</v>
      </c>
    </row>
    <row r="11" spans="1:6" ht="31.5" customHeight="1" x14ac:dyDescent="0.2">
      <c r="A11" s="94" t="s">
        <v>143</v>
      </c>
      <c r="B11" s="89" t="s">
        <v>146</v>
      </c>
      <c r="C11" s="36">
        <v>82465</v>
      </c>
      <c r="D11" s="14">
        <f t="shared" si="2"/>
        <v>82465</v>
      </c>
      <c r="E11" s="43" t="str">
        <f t="shared" si="0"/>
        <v>-</v>
      </c>
      <c r="F11" s="44">
        <f t="shared" si="1"/>
        <v>1</v>
      </c>
    </row>
    <row r="12" spans="1:6" ht="31.5" customHeight="1" x14ac:dyDescent="0.2">
      <c r="A12" s="94" t="s">
        <v>144</v>
      </c>
      <c r="B12" s="89" t="s">
        <v>147</v>
      </c>
      <c r="C12" s="36">
        <v>45056</v>
      </c>
      <c r="D12" s="14">
        <f t="shared" si="2"/>
        <v>45056</v>
      </c>
      <c r="E12" s="43" t="str">
        <f t="shared" si="0"/>
        <v>-</v>
      </c>
      <c r="F12" s="44">
        <f t="shared" si="1"/>
        <v>1</v>
      </c>
    </row>
    <row r="13" spans="1:6" ht="31.5" customHeight="1" x14ac:dyDescent="0.2">
      <c r="A13" s="94" t="s">
        <v>145</v>
      </c>
      <c r="B13" s="89" t="s">
        <v>148</v>
      </c>
      <c r="C13" s="36">
        <v>23019</v>
      </c>
      <c r="D13" s="14">
        <f t="shared" si="2"/>
        <v>23019</v>
      </c>
      <c r="E13" s="43" t="str">
        <f t="shared" si="0"/>
        <v>-</v>
      </c>
      <c r="F13" s="44">
        <f t="shared" si="1"/>
        <v>1</v>
      </c>
    </row>
    <row r="14" spans="1:6" ht="33" customHeight="1" x14ac:dyDescent="0.2">
      <c r="A14" s="93" t="s">
        <v>4</v>
      </c>
      <c r="B14" s="15" t="s">
        <v>125</v>
      </c>
      <c r="C14" s="36">
        <v>88210</v>
      </c>
      <c r="D14" s="14">
        <f t="shared" si="2"/>
        <v>88210</v>
      </c>
      <c r="E14" s="43" t="str">
        <f t="shared" si="0"/>
        <v>-</v>
      </c>
      <c r="F14" s="44">
        <f t="shared" si="1"/>
        <v>1</v>
      </c>
    </row>
    <row r="15" spans="1:6" ht="33" customHeight="1" x14ac:dyDescent="0.2">
      <c r="A15" s="93" t="s">
        <v>5</v>
      </c>
      <c r="B15" s="15" t="s">
        <v>121</v>
      </c>
      <c r="C15" s="36">
        <v>63349</v>
      </c>
      <c r="D15" s="14">
        <f t="shared" si="2"/>
        <v>63349</v>
      </c>
      <c r="E15" s="43" t="str">
        <f t="shared" si="0"/>
        <v>-</v>
      </c>
      <c r="F15" s="44">
        <f t="shared" si="1"/>
        <v>1</v>
      </c>
    </row>
    <row r="16" spans="1:6" ht="33" customHeight="1" x14ac:dyDescent="0.2">
      <c r="A16" s="93" t="s">
        <v>6</v>
      </c>
      <c r="B16" s="15" t="s">
        <v>127</v>
      </c>
      <c r="C16" s="36">
        <v>35554</v>
      </c>
      <c r="D16" s="14">
        <f t="shared" si="2"/>
        <v>35554</v>
      </c>
      <c r="E16" s="43" t="str">
        <f t="shared" si="0"/>
        <v>-</v>
      </c>
      <c r="F16" s="44">
        <f t="shared" si="1"/>
        <v>1</v>
      </c>
    </row>
    <row r="17" spans="1:6" ht="33" customHeight="1" x14ac:dyDescent="0.2">
      <c r="A17" s="93" t="s">
        <v>7</v>
      </c>
      <c r="B17" s="15" t="s">
        <v>126</v>
      </c>
      <c r="C17" s="36">
        <v>21423</v>
      </c>
      <c r="D17" s="14">
        <f t="shared" si="2"/>
        <v>21423</v>
      </c>
      <c r="E17" s="43" t="str">
        <f t="shared" si="0"/>
        <v>-</v>
      </c>
      <c r="F17" s="44">
        <f t="shared" si="1"/>
        <v>1</v>
      </c>
    </row>
    <row r="18" spans="1:6" ht="33" customHeight="1" x14ac:dyDescent="0.2">
      <c r="A18" s="93" t="s">
        <v>8</v>
      </c>
      <c r="B18" s="15" t="s">
        <v>122</v>
      </c>
      <c r="C18" s="36">
        <v>65791</v>
      </c>
      <c r="D18" s="14">
        <f t="shared" si="2"/>
        <v>65791</v>
      </c>
      <c r="E18" s="43" t="str">
        <f t="shared" si="0"/>
        <v>-</v>
      </c>
      <c r="F18" s="44">
        <f t="shared" si="1"/>
        <v>1</v>
      </c>
    </row>
    <row r="19" spans="1:6" ht="33" customHeight="1" x14ac:dyDescent="0.2">
      <c r="A19" s="93" t="s">
        <v>9</v>
      </c>
      <c r="B19" s="15" t="s">
        <v>123</v>
      </c>
      <c r="C19" s="36">
        <v>20500</v>
      </c>
      <c r="D19" s="14">
        <f t="shared" si="2"/>
        <v>20500</v>
      </c>
      <c r="E19" s="43" t="str">
        <f t="shared" si="0"/>
        <v>-</v>
      </c>
      <c r="F19" s="44">
        <f t="shared" si="1"/>
        <v>1</v>
      </c>
    </row>
    <row r="20" spans="1:6" ht="33" customHeight="1" x14ac:dyDescent="0.2">
      <c r="A20" s="93" t="s">
        <v>10</v>
      </c>
      <c r="B20" s="15" t="s">
        <v>128</v>
      </c>
      <c r="C20" s="36">
        <v>1500</v>
      </c>
      <c r="D20" s="14">
        <f t="shared" si="2"/>
        <v>1500</v>
      </c>
      <c r="E20" s="43" t="str">
        <f t="shared" si="0"/>
        <v>-</v>
      </c>
      <c r="F20" s="44">
        <f t="shared" si="1"/>
        <v>1</v>
      </c>
    </row>
    <row r="21" spans="1:6" ht="46.5" customHeight="1" x14ac:dyDescent="0.2">
      <c r="A21" s="93" t="s">
        <v>11</v>
      </c>
      <c r="B21" s="15" t="s">
        <v>124</v>
      </c>
      <c r="C21" s="36">
        <v>5379</v>
      </c>
      <c r="D21" s="14">
        <f t="shared" si="2"/>
        <v>5379</v>
      </c>
      <c r="E21" s="43" t="str">
        <f t="shared" si="0"/>
        <v>-</v>
      </c>
      <c r="F21" s="44">
        <f t="shared" si="1"/>
        <v>1</v>
      </c>
    </row>
    <row r="22" spans="1:6" ht="33" customHeight="1" x14ac:dyDescent="0.2">
      <c r="A22" s="93" t="s">
        <v>12</v>
      </c>
      <c r="B22" s="15" t="s">
        <v>165</v>
      </c>
      <c r="C22" s="36">
        <v>62240</v>
      </c>
      <c r="D22" s="14">
        <f t="shared" si="2"/>
        <v>62240</v>
      </c>
      <c r="E22" s="43" t="str">
        <f t="shared" si="0"/>
        <v>-</v>
      </c>
      <c r="F22" s="44">
        <f t="shared" si="1"/>
        <v>1</v>
      </c>
    </row>
    <row r="23" spans="1:6" ht="33" customHeight="1" x14ac:dyDescent="0.2">
      <c r="A23" s="93" t="s">
        <v>13</v>
      </c>
      <c r="B23" s="15" t="s">
        <v>149</v>
      </c>
      <c r="C23" s="36">
        <v>29000</v>
      </c>
      <c r="D23" s="14">
        <f t="shared" si="2"/>
        <v>29000</v>
      </c>
      <c r="E23" s="43" t="str">
        <f t="shared" si="0"/>
        <v>-</v>
      </c>
      <c r="F23" s="44">
        <f t="shared" si="1"/>
        <v>1</v>
      </c>
    </row>
    <row r="24" spans="1:6" ht="33" customHeight="1" x14ac:dyDescent="0.2">
      <c r="A24" s="95" t="s">
        <v>14</v>
      </c>
      <c r="B24" s="35" t="s">
        <v>222</v>
      </c>
      <c r="C24" s="36">
        <v>224967</v>
      </c>
      <c r="D24" s="36">
        <f>SUM(D25:D27)</f>
        <v>224967</v>
      </c>
      <c r="E24" s="43" t="str">
        <f t="shared" si="0"/>
        <v>-</v>
      </c>
      <c r="F24" s="44">
        <f t="shared" si="1"/>
        <v>1</v>
      </c>
    </row>
    <row r="25" spans="1:6" ht="37.5" x14ac:dyDescent="0.2">
      <c r="A25" s="94" t="s">
        <v>129</v>
      </c>
      <c r="B25" s="89" t="s">
        <v>151</v>
      </c>
      <c r="C25" s="36">
        <v>222957</v>
      </c>
      <c r="D25" s="14">
        <f t="shared" si="2"/>
        <v>222957</v>
      </c>
      <c r="E25" s="43" t="str">
        <f t="shared" si="0"/>
        <v>-</v>
      </c>
      <c r="F25" s="44">
        <f t="shared" si="1"/>
        <v>1</v>
      </c>
    </row>
    <row r="26" spans="1:6" ht="31.5" customHeight="1" x14ac:dyDescent="0.2">
      <c r="A26" s="94" t="s">
        <v>150</v>
      </c>
      <c r="B26" s="89" t="s">
        <v>153</v>
      </c>
      <c r="C26" s="36">
        <v>1550</v>
      </c>
      <c r="D26" s="14">
        <f t="shared" si="2"/>
        <v>1550</v>
      </c>
      <c r="E26" s="43" t="str">
        <f t="shared" si="0"/>
        <v>-</v>
      </c>
      <c r="F26" s="44">
        <f t="shared" si="1"/>
        <v>1</v>
      </c>
    </row>
    <row r="27" spans="1:6" ht="37.5" x14ac:dyDescent="0.2">
      <c r="A27" s="94" t="s">
        <v>154</v>
      </c>
      <c r="B27" s="89" t="s">
        <v>152</v>
      </c>
      <c r="C27" s="36">
        <v>460</v>
      </c>
      <c r="D27" s="14">
        <f t="shared" si="2"/>
        <v>460</v>
      </c>
      <c r="E27" s="43" t="str">
        <f t="shared" si="0"/>
        <v>-</v>
      </c>
      <c r="F27" s="44">
        <f t="shared" si="1"/>
        <v>1</v>
      </c>
    </row>
    <row r="28" spans="1:6" ht="33" customHeight="1" x14ac:dyDescent="0.2">
      <c r="A28" s="96" t="s">
        <v>15</v>
      </c>
      <c r="B28" s="16" t="s">
        <v>113</v>
      </c>
      <c r="C28" s="36">
        <v>0</v>
      </c>
      <c r="D28" s="14">
        <f t="shared" si="2"/>
        <v>0</v>
      </c>
      <c r="E28" s="43" t="str">
        <f t="shared" si="0"/>
        <v>-</v>
      </c>
      <c r="F28" s="44" t="str">
        <f t="shared" si="1"/>
        <v>-</v>
      </c>
    </row>
    <row r="29" spans="1:6" ht="33" customHeight="1" x14ac:dyDescent="0.2">
      <c r="A29" s="96" t="s">
        <v>110</v>
      </c>
      <c r="B29" s="17" t="s">
        <v>155</v>
      </c>
      <c r="C29" s="36">
        <v>0</v>
      </c>
      <c r="D29" s="14">
        <f>C29</f>
        <v>0</v>
      </c>
      <c r="E29" s="43" t="str">
        <f t="shared" si="0"/>
        <v>-</v>
      </c>
      <c r="F29" s="44" t="str">
        <f t="shared" si="1"/>
        <v>-</v>
      </c>
    </row>
    <row r="30" spans="1:6" ht="31.5" customHeight="1" x14ac:dyDescent="0.2">
      <c r="A30" s="94" t="s">
        <v>156</v>
      </c>
      <c r="B30" s="89" t="s">
        <v>167</v>
      </c>
      <c r="C30" s="36">
        <v>0</v>
      </c>
      <c r="D30" s="14">
        <f t="shared" si="2"/>
        <v>0</v>
      </c>
      <c r="E30" s="43" t="str">
        <f t="shared" si="0"/>
        <v>-</v>
      </c>
      <c r="F30" s="44" t="str">
        <f t="shared" si="1"/>
        <v>-</v>
      </c>
    </row>
    <row r="31" spans="1:6" ht="33" customHeight="1" x14ac:dyDescent="0.2">
      <c r="A31" s="96" t="s">
        <v>111</v>
      </c>
      <c r="B31" s="17" t="s">
        <v>114</v>
      </c>
      <c r="C31" s="36">
        <v>0</v>
      </c>
      <c r="D31" s="14">
        <f t="shared" si="2"/>
        <v>0</v>
      </c>
      <c r="E31" s="43" t="str">
        <f t="shared" si="0"/>
        <v>-</v>
      </c>
      <c r="F31" s="44" t="str">
        <f t="shared" si="1"/>
        <v>-</v>
      </c>
    </row>
    <row r="32" spans="1:6" ht="33" customHeight="1" x14ac:dyDescent="0.2">
      <c r="A32" s="96" t="s">
        <v>112</v>
      </c>
      <c r="B32" s="17" t="s">
        <v>166</v>
      </c>
      <c r="C32" s="36">
        <v>6746</v>
      </c>
      <c r="D32" s="14">
        <f t="shared" si="2"/>
        <v>6746</v>
      </c>
      <c r="E32" s="43" t="str">
        <f t="shared" si="0"/>
        <v>-</v>
      </c>
      <c r="F32" s="44">
        <f t="shared" si="1"/>
        <v>1</v>
      </c>
    </row>
    <row r="33" spans="1:6" ht="42.75" customHeight="1" x14ac:dyDescent="0.2">
      <c r="A33" s="96" t="s">
        <v>223</v>
      </c>
      <c r="B33" s="17" t="s">
        <v>224</v>
      </c>
      <c r="C33" s="36">
        <v>0</v>
      </c>
      <c r="D33" s="14">
        <f t="shared" si="2"/>
        <v>0</v>
      </c>
      <c r="E33" s="43" t="str">
        <f>IF(C33=D33,"-",D33-C33)</f>
        <v>-</v>
      </c>
      <c r="F33" s="44" t="str">
        <f>IF(C33=0,"-",D33/C33)</f>
        <v>-</v>
      </c>
    </row>
    <row r="34" spans="1:6" ht="33" customHeight="1" x14ac:dyDescent="0.2">
      <c r="A34" s="96" t="s">
        <v>233</v>
      </c>
      <c r="B34" s="17" t="s">
        <v>234</v>
      </c>
      <c r="C34" s="36">
        <v>100</v>
      </c>
      <c r="D34" s="14">
        <f t="shared" si="2"/>
        <v>100</v>
      </c>
      <c r="E34" s="43" t="str">
        <f>IF(C34=D34,"-",D34-C34)</f>
        <v>-</v>
      </c>
      <c r="F34" s="44">
        <f>IF(C34=0,"-",D34/C34)</f>
        <v>1</v>
      </c>
    </row>
    <row r="35" spans="1:6" s="3" customFormat="1" ht="31.5" customHeight="1" x14ac:dyDescent="0.2">
      <c r="A35" s="97" t="s">
        <v>58</v>
      </c>
      <c r="B35" s="18" t="s">
        <v>59</v>
      </c>
      <c r="C35" s="37">
        <v>0</v>
      </c>
      <c r="D35" s="42">
        <f>C35</f>
        <v>0</v>
      </c>
      <c r="E35" s="8" t="str">
        <f t="shared" si="0"/>
        <v>-</v>
      </c>
      <c r="F35" s="45" t="str">
        <f t="shared" si="1"/>
        <v>-</v>
      </c>
    </row>
    <row r="36" spans="1:6" s="3" customFormat="1" ht="31.5" customHeight="1" x14ac:dyDescent="0.2">
      <c r="A36" s="97" t="s">
        <v>57</v>
      </c>
      <c r="B36" s="18" t="s">
        <v>60</v>
      </c>
      <c r="C36" s="37">
        <v>70656</v>
      </c>
      <c r="D36" s="42">
        <f>C36</f>
        <v>70656</v>
      </c>
      <c r="E36" s="8" t="str">
        <f t="shared" si="0"/>
        <v>-</v>
      </c>
      <c r="F36" s="45">
        <f t="shared" si="1"/>
        <v>1</v>
      </c>
    </row>
    <row r="37" spans="1:6" s="3" customFormat="1" ht="40.5" x14ac:dyDescent="0.2">
      <c r="A37" s="97" t="s">
        <v>235</v>
      </c>
      <c r="B37" s="18" t="s">
        <v>236</v>
      </c>
      <c r="C37" s="37">
        <v>19664</v>
      </c>
      <c r="D37" s="42">
        <f>C37</f>
        <v>19664</v>
      </c>
      <c r="E37" s="8" t="str">
        <f t="shared" si="0"/>
        <v>-</v>
      </c>
      <c r="F37" s="45">
        <f t="shared" si="1"/>
        <v>1</v>
      </c>
    </row>
    <row r="38" spans="1:6" s="3" customFormat="1" ht="42.75" customHeight="1" x14ac:dyDescent="0.2">
      <c r="A38" s="97" t="s">
        <v>157</v>
      </c>
      <c r="B38" s="18" t="s">
        <v>158</v>
      </c>
      <c r="C38" s="37">
        <f>C11+C13+C24+C30</f>
        <v>330451</v>
      </c>
      <c r="D38" s="37">
        <f>D11+D13+D24+D30</f>
        <v>330451</v>
      </c>
      <c r="E38" s="8" t="str">
        <f t="shared" si="0"/>
        <v>-</v>
      </c>
      <c r="F38" s="45">
        <f t="shared" si="1"/>
        <v>1</v>
      </c>
    </row>
    <row r="39" spans="1:6" ht="30" customHeight="1" x14ac:dyDescent="0.2">
      <c r="A39" s="151" t="s">
        <v>16</v>
      </c>
      <c r="B39" s="152" t="s">
        <v>228</v>
      </c>
      <c r="C39" s="135">
        <f>C40+C41+C42+C50+C52+C58+C59+C57</f>
        <v>17784</v>
      </c>
      <c r="D39" s="135">
        <f>D40+D41+D42+D50+D52+D58+D59+D57</f>
        <v>17784</v>
      </c>
      <c r="E39" s="131" t="str">
        <f t="shared" si="0"/>
        <v>-</v>
      </c>
      <c r="F39" s="153">
        <f t="shared" si="1"/>
        <v>1</v>
      </c>
    </row>
    <row r="40" spans="1:6" ht="28.5" customHeight="1" x14ac:dyDescent="0.2">
      <c r="A40" s="96" t="s">
        <v>17</v>
      </c>
      <c r="B40" s="20" t="s">
        <v>18</v>
      </c>
      <c r="C40" s="36">
        <v>679</v>
      </c>
      <c r="D40" s="38">
        <f>C40</f>
        <v>679</v>
      </c>
      <c r="E40" s="43" t="str">
        <f t="shared" si="0"/>
        <v>-</v>
      </c>
      <c r="F40" s="44">
        <f t="shared" si="1"/>
        <v>1</v>
      </c>
    </row>
    <row r="41" spans="1:6" ht="28.5" customHeight="1" x14ac:dyDescent="0.2">
      <c r="A41" s="96" t="s">
        <v>19</v>
      </c>
      <c r="B41" s="20" t="s">
        <v>20</v>
      </c>
      <c r="C41" s="36">
        <v>950</v>
      </c>
      <c r="D41" s="38">
        <f t="shared" ref="D41:D59" si="3">C41</f>
        <v>950</v>
      </c>
      <c r="E41" s="43" t="str">
        <f t="shared" si="0"/>
        <v>-</v>
      </c>
      <c r="F41" s="44">
        <f t="shared" si="1"/>
        <v>1</v>
      </c>
    </row>
    <row r="42" spans="1:6" ht="28.5" customHeight="1" x14ac:dyDescent="0.2">
      <c r="A42" s="96" t="s">
        <v>21</v>
      </c>
      <c r="B42" s="21" t="s">
        <v>229</v>
      </c>
      <c r="C42" s="38">
        <f>C43+C45+C46+C47+C48+C49</f>
        <v>246</v>
      </c>
      <c r="D42" s="38">
        <f>D43+D45+D46+D47+D48+D49</f>
        <v>246</v>
      </c>
      <c r="E42" s="43" t="str">
        <f t="shared" si="0"/>
        <v>-</v>
      </c>
      <c r="F42" s="44">
        <f t="shared" si="1"/>
        <v>1</v>
      </c>
    </row>
    <row r="43" spans="1:6" ht="28.5" customHeight="1" x14ac:dyDescent="0.2">
      <c r="A43" s="99" t="s">
        <v>39</v>
      </c>
      <c r="B43" s="90" t="s">
        <v>32</v>
      </c>
      <c r="C43" s="36">
        <v>19</v>
      </c>
      <c r="D43" s="38">
        <f t="shared" si="3"/>
        <v>19</v>
      </c>
      <c r="E43" s="43" t="str">
        <f t="shared" si="0"/>
        <v>-</v>
      </c>
      <c r="F43" s="44">
        <f t="shared" si="1"/>
        <v>1</v>
      </c>
    </row>
    <row r="44" spans="1:6" ht="28.5" customHeight="1" x14ac:dyDescent="0.2">
      <c r="A44" s="99" t="s">
        <v>40</v>
      </c>
      <c r="B44" s="91" t="s">
        <v>33</v>
      </c>
      <c r="C44" s="36">
        <v>19</v>
      </c>
      <c r="D44" s="38">
        <f t="shared" si="3"/>
        <v>19</v>
      </c>
      <c r="E44" s="43" t="str">
        <f t="shared" si="0"/>
        <v>-</v>
      </c>
      <c r="F44" s="44">
        <f t="shared" si="1"/>
        <v>1</v>
      </c>
    </row>
    <row r="45" spans="1:6" ht="28.5" customHeight="1" x14ac:dyDescent="0.2">
      <c r="A45" s="99" t="s">
        <v>41</v>
      </c>
      <c r="B45" s="90" t="s">
        <v>34</v>
      </c>
      <c r="C45" s="36">
        <v>54</v>
      </c>
      <c r="D45" s="38">
        <f t="shared" si="3"/>
        <v>54</v>
      </c>
      <c r="E45" s="43" t="str">
        <f t="shared" si="0"/>
        <v>-</v>
      </c>
      <c r="F45" s="44">
        <f t="shared" si="1"/>
        <v>1</v>
      </c>
    </row>
    <row r="46" spans="1:6" ht="28.5" customHeight="1" x14ac:dyDescent="0.2">
      <c r="A46" s="99" t="s">
        <v>42</v>
      </c>
      <c r="B46" s="90" t="s">
        <v>35</v>
      </c>
      <c r="C46" s="36">
        <v>0</v>
      </c>
      <c r="D46" s="38">
        <f t="shared" si="3"/>
        <v>0</v>
      </c>
      <c r="E46" s="43" t="str">
        <f t="shared" si="0"/>
        <v>-</v>
      </c>
      <c r="F46" s="44" t="str">
        <f t="shared" si="1"/>
        <v>-</v>
      </c>
    </row>
    <row r="47" spans="1:6" ht="28.5" customHeight="1" x14ac:dyDescent="0.2">
      <c r="A47" s="99" t="s">
        <v>43</v>
      </c>
      <c r="B47" s="90" t="s">
        <v>36</v>
      </c>
      <c r="C47" s="36">
        <v>0</v>
      </c>
      <c r="D47" s="38">
        <f t="shared" si="3"/>
        <v>0</v>
      </c>
      <c r="E47" s="43" t="str">
        <f t="shared" si="0"/>
        <v>-</v>
      </c>
      <c r="F47" s="44" t="str">
        <f t="shared" si="1"/>
        <v>-</v>
      </c>
    </row>
    <row r="48" spans="1:6" ht="28.5" customHeight="1" x14ac:dyDescent="0.2">
      <c r="A48" s="99" t="s">
        <v>44</v>
      </c>
      <c r="B48" s="90" t="s">
        <v>37</v>
      </c>
      <c r="C48" s="36">
        <v>167</v>
      </c>
      <c r="D48" s="38">
        <f t="shared" si="3"/>
        <v>167</v>
      </c>
      <c r="E48" s="43" t="str">
        <f t="shared" si="0"/>
        <v>-</v>
      </c>
      <c r="F48" s="44">
        <f t="shared" si="1"/>
        <v>1</v>
      </c>
    </row>
    <row r="49" spans="1:6" ht="28.5" customHeight="1" x14ac:dyDescent="0.2">
      <c r="A49" s="99" t="s">
        <v>45</v>
      </c>
      <c r="B49" s="90" t="s">
        <v>38</v>
      </c>
      <c r="C49" s="36">
        <v>6</v>
      </c>
      <c r="D49" s="38">
        <f t="shared" si="3"/>
        <v>6</v>
      </c>
      <c r="E49" s="43" t="str">
        <f t="shared" si="0"/>
        <v>-</v>
      </c>
      <c r="F49" s="44">
        <f t="shared" si="1"/>
        <v>1</v>
      </c>
    </row>
    <row r="50" spans="1:6" ht="28.5" customHeight="1" x14ac:dyDescent="0.2">
      <c r="A50" s="96" t="s">
        <v>22</v>
      </c>
      <c r="B50" s="20" t="s">
        <v>159</v>
      </c>
      <c r="C50" s="36">
        <v>10289</v>
      </c>
      <c r="D50" s="38">
        <f t="shared" si="3"/>
        <v>10289</v>
      </c>
      <c r="E50" s="43" t="str">
        <f t="shared" si="0"/>
        <v>-</v>
      </c>
      <c r="F50" s="44">
        <f t="shared" si="1"/>
        <v>1</v>
      </c>
    </row>
    <row r="51" spans="1:6" ht="28.5" customHeight="1" x14ac:dyDescent="0.2">
      <c r="A51" s="99" t="s">
        <v>160</v>
      </c>
      <c r="B51" s="90" t="s">
        <v>161</v>
      </c>
      <c r="C51" s="36">
        <v>0</v>
      </c>
      <c r="D51" s="38">
        <f t="shared" si="3"/>
        <v>0</v>
      </c>
      <c r="E51" s="43" t="str">
        <f t="shared" si="0"/>
        <v>-</v>
      </c>
      <c r="F51" s="44" t="str">
        <f t="shared" si="1"/>
        <v>-</v>
      </c>
    </row>
    <row r="52" spans="1:6" ht="28.5" customHeight="1" x14ac:dyDescent="0.2">
      <c r="A52" s="96" t="s">
        <v>23</v>
      </c>
      <c r="B52" s="21" t="s">
        <v>227</v>
      </c>
      <c r="C52" s="34">
        <f>C53+C54+C55+C56</f>
        <v>2317</v>
      </c>
      <c r="D52" s="34">
        <f>D53+D54+D55+D56</f>
        <v>2317</v>
      </c>
      <c r="E52" s="43" t="str">
        <f t="shared" si="0"/>
        <v>-</v>
      </c>
      <c r="F52" s="44">
        <f t="shared" si="1"/>
        <v>1</v>
      </c>
    </row>
    <row r="53" spans="1:6" ht="28.5" customHeight="1" x14ac:dyDescent="0.2">
      <c r="A53" s="99" t="s">
        <v>50</v>
      </c>
      <c r="B53" s="90" t="s">
        <v>46</v>
      </c>
      <c r="C53" s="36">
        <v>1764</v>
      </c>
      <c r="D53" s="38">
        <f t="shared" si="3"/>
        <v>1764</v>
      </c>
      <c r="E53" s="43" t="str">
        <f t="shared" si="0"/>
        <v>-</v>
      </c>
      <c r="F53" s="44">
        <f t="shared" si="1"/>
        <v>1</v>
      </c>
    </row>
    <row r="54" spans="1:6" ht="28.5" customHeight="1" x14ac:dyDescent="0.2">
      <c r="A54" s="99" t="s">
        <v>51</v>
      </c>
      <c r="B54" s="90" t="s">
        <v>47</v>
      </c>
      <c r="C54" s="36">
        <v>252</v>
      </c>
      <c r="D54" s="38">
        <f t="shared" si="3"/>
        <v>252</v>
      </c>
      <c r="E54" s="43" t="str">
        <f t="shared" si="0"/>
        <v>-</v>
      </c>
      <c r="F54" s="44">
        <f t="shared" si="1"/>
        <v>1</v>
      </c>
    </row>
    <row r="55" spans="1:6" ht="28.5" customHeight="1" x14ac:dyDescent="0.2">
      <c r="A55" s="99" t="s">
        <v>52</v>
      </c>
      <c r="B55" s="90" t="s">
        <v>48</v>
      </c>
      <c r="C55" s="36">
        <v>0</v>
      </c>
      <c r="D55" s="38">
        <f t="shared" si="3"/>
        <v>0</v>
      </c>
      <c r="E55" s="43" t="str">
        <f t="shared" si="0"/>
        <v>-</v>
      </c>
      <c r="F55" s="44" t="str">
        <f t="shared" si="1"/>
        <v>-</v>
      </c>
    </row>
    <row r="56" spans="1:6" ht="28.5" customHeight="1" x14ac:dyDescent="0.2">
      <c r="A56" s="99" t="s">
        <v>53</v>
      </c>
      <c r="B56" s="90" t="s">
        <v>49</v>
      </c>
      <c r="C56" s="36">
        <v>301</v>
      </c>
      <c r="D56" s="38">
        <f t="shared" si="3"/>
        <v>301</v>
      </c>
      <c r="E56" s="43" t="str">
        <f t="shared" si="0"/>
        <v>-</v>
      </c>
      <c r="F56" s="44">
        <f t="shared" si="1"/>
        <v>1</v>
      </c>
    </row>
    <row r="57" spans="1:6" ht="28.5" customHeight="1" x14ac:dyDescent="0.2">
      <c r="A57" s="96" t="s">
        <v>24</v>
      </c>
      <c r="B57" s="20" t="s">
        <v>25</v>
      </c>
      <c r="C57" s="36">
        <v>0</v>
      </c>
      <c r="D57" s="38">
        <f t="shared" si="3"/>
        <v>0</v>
      </c>
      <c r="E57" s="43" t="str">
        <f t="shared" si="0"/>
        <v>-</v>
      </c>
      <c r="F57" s="44" t="str">
        <f t="shared" si="1"/>
        <v>-</v>
      </c>
    </row>
    <row r="58" spans="1:6" ht="28.5" customHeight="1" x14ac:dyDescent="0.2">
      <c r="A58" s="96" t="s">
        <v>26</v>
      </c>
      <c r="B58" s="20" t="s">
        <v>162</v>
      </c>
      <c r="C58" s="36">
        <v>3088</v>
      </c>
      <c r="D58" s="38">
        <f t="shared" si="3"/>
        <v>3088</v>
      </c>
      <c r="E58" s="43" t="str">
        <f t="shared" si="0"/>
        <v>-</v>
      </c>
      <c r="F58" s="46">
        <f t="shared" si="1"/>
        <v>1</v>
      </c>
    </row>
    <row r="59" spans="1:6" ht="28.5" customHeight="1" x14ac:dyDescent="0.2">
      <c r="A59" s="96" t="s">
        <v>27</v>
      </c>
      <c r="B59" s="20" t="s">
        <v>28</v>
      </c>
      <c r="C59" s="36">
        <v>215</v>
      </c>
      <c r="D59" s="38">
        <f t="shared" si="3"/>
        <v>215</v>
      </c>
      <c r="E59" s="43" t="str">
        <f t="shared" si="0"/>
        <v>-</v>
      </c>
      <c r="F59" s="44">
        <f t="shared" si="1"/>
        <v>1</v>
      </c>
    </row>
    <row r="60" spans="1:6" ht="30" customHeight="1" x14ac:dyDescent="0.2">
      <c r="A60" s="142" t="s">
        <v>135</v>
      </c>
      <c r="B60" s="143" t="s">
        <v>163</v>
      </c>
      <c r="C60" s="154">
        <f>C61+C62+C63+C64</f>
        <v>2289</v>
      </c>
      <c r="D60" s="154">
        <f>D61+D62+D63+D64</f>
        <v>2289</v>
      </c>
      <c r="E60" s="131" t="str">
        <f t="shared" si="0"/>
        <v>-</v>
      </c>
      <c r="F60" s="155">
        <f t="shared" si="1"/>
        <v>1</v>
      </c>
    </row>
    <row r="61" spans="1:6" ht="42" customHeight="1" x14ac:dyDescent="0.2">
      <c r="A61" s="96" t="s">
        <v>101</v>
      </c>
      <c r="B61" s="20" t="s">
        <v>115</v>
      </c>
      <c r="C61" s="36">
        <v>0</v>
      </c>
      <c r="D61" s="38">
        <f>C61</f>
        <v>0</v>
      </c>
      <c r="E61" s="34" t="str">
        <f t="shared" si="0"/>
        <v>-</v>
      </c>
      <c r="F61" s="44" t="str">
        <f t="shared" si="1"/>
        <v>-</v>
      </c>
    </row>
    <row r="62" spans="1:6" ht="31.5" customHeight="1" x14ac:dyDescent="0.2">
      <c r="A62" s="96" t="s">
        <v>30</v>
      </c>
      <c r="B62" s="20" t="s">
        <v>55</v>
      </c>
      <c r="C62" s="36">
        <v>1110</v>
      </c>
      <c r="D62" s="38">
        <f>C62</f>
        <v>1110</v>
      </c>
      <c r="E62" s="34" t="str">
        <f t="shared" si="0"/>
        <v>-</v>
      </c>
      <c r="F62" s="44">
        <f t="shared" si="1"/>
        <v>1</v>
      </c>
    </row>
    <row r="63" spans="1:6" ht="31.5" customHeight="1" x14ac:dyDescent="0.2">
      <c r="A63" s="96" t="s">
        <v>31</v>
      </c>
      <c r="B63" s="20" t="s">
        <v>103</v>
      </c>
      <c r="C63" s="36">
        <v>0</v>
      </c>
      <c r="D63" s="38">
        <f>C63</f>
        <v>0</v>
      </c>
      <c r="E63" s="34" t="str">
        <f t="shared" si="0"/>
        <v>-</v>
      </c>
      <c r="F63" s="44" t="str">
        <f t="shared" si="1"/>
        <v>-</v>
      </c>
    </row>
    <row r="64" spans="1:6" ht="31.5" customHeight="1" x14ac:dyDescent="0.2">
      <c r="A64" s="96" t="s">
        <v>102</v>
      </c>
      <c r="B64" s="20" t="s">
        <v>104</v>
      </c>
      <c r="C64" s="36">
        <v>1179</v>
      </c>
      <c r="D64" s="38">
        <f>C64</f>
        <v>1179</v>
      </c>
      <c r="E64" s="34" t="str">
        <f t="shared" si="0"/>
        <v>-</v>
      </c>
      <c r="F64" s="44">
        <f t="shared" si="1"/>
        <v>1</v>
      </c>
    </row>
    <row r="65" spans="1:6" ht="32.25" customHeight="1" x14ac:dyDescent="0.2">
      <c r="A65" s="142" t="s">
        <v>137</v>
      </c>
      <c r="B65" s="143" t="s">
        <v>116</v>
      </c>
      <c r="C65" s="154">
        <v>372</v>
      </c>
      <c r="D65" s="154">
        <f>C65</f>
        <v>372</v>
      </c>
      <c r="E65" s="131" t="str">
        <f t="shared" si="0"/>
        <v>-</v>
      </c>
      <c r="F65" s="155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5.7109375" style="2" customWidth="1"/>
    <col min="4" max="4" width="26.85546875" style="2" customWidth="1"/>
    <col min="5" max="5" width="25.140625" style="2" customWidth="1"/>
    <col min="6" max="6" width="20.7109375" style="2" customWidth="1"/>
    <col min="7" max="16384" width="9.140625" style="2"/>
  </cols>
  <sheetData>
    <row r="1" spans="1:6" s="24" customFormat="1" ht="46.5" customHeight="1" x14ac:dyDescent="0.2">
      <c r="A1" s="160" t="str">
        <f>NFZ!A1</f>
        <v>ZMIANA PLANU FINANSOWEGO NARODOWEGO FUNDUSZU ZDROWIA NA 2017 ROK Z DNIA 18 LIPCA 2017 R.</v>
      </c>
      <c r="B1" s="160"/>
      <c r="C1" s="160"/>
      <c r="D1" s="160"/>
      <c r="E1" s="160"/>
      <c r="F1" s="160"/>
    </row>
    <row r="2" spans="1:6" s="26" customFormat="1" ht="33" customHeight="1" x14ac:dyDescent="0.2">
      <c r="A2" s="115" t="s">
        <v>71</v>
      </c>
      <c r="B2" s="115"/>
      <c r="C2" s="116"/>
    </row>
    <row r="3" spans="1:6" ht="33" customHeight="1" x14ac:dyDescent="0.25">
      <c r="A3" s="5"/>
      <c r="B3" s="6"/>
      <c r="C3" s="40"/>
      <c r="D3" s="40"/>
      <c r="E3" s="40" t="s">
        <v>141</v>
      </c>
      <c r="F3" s="7"/>
    </row>
    <row r="4" spans="1:6" s="117" customFormat="1" ht="65.099999999999994" customHeight="1" x14ac:dyDescent="0.2">
      <c r="A4" s="124" t="s">
        <v>118</v>
      </c>
      <c r="B4" s="124" t="s">
        <v>54</v>
      </c>
      <c r="C4" s="125" t="s">
        <v>230</v>
      </c>
      <c r="D4" s="125" t="s">
        <v>171</v>
      </c>
      <c r="E4" s="126" t="s">
        <v>172</v>
      </c>
      <c r="F4" s="126" t="s">
        <v>173</v>
      </c>
    </row>
    <row r="5" spans="1:6" s="118" customFormat="1" ht="14.25" x14ac:dyDescent="0.2">
      <c r="A5" s="127">
        <v>1</v>
      </c>
      <c r="B5" s="128">
        <v>2</v>
      </c>
      <c r="C5" s="127">
        <v>3</v>
      </c>
      <c r="D5" s="128">
        <v>4</v>
      </c>
      <c r="E5" s="127">
        <v>5</v>
      </c>
      <c r="F5" s="128">
        <v>6</v>
      </c>
    </row>
    <row r="6" spans="1:6" ht="30" customHeight="1" x14ac:dyDescent="0.2">
      <c r="A6" s="101" t="s">
        <v>0</v>
      </c>
      <c r="B6" s="73" t="s">
        <v>232</v>
      </c>
      <c r="C6" s="150">
        <f>C7+C8+C9+C14+C15+C16+C17+C18+C19+C20+C21+C22+C23+C24+C28+C29+C31+C32+C33+C34</f>
        <v>4187239</v>
      </c>
      <c r="D6" s="150">
        <f>D7+D8+D9+D14+D15+D16+D17+D18+D19+D20+D21+D22+D23+D24+D28+D29+D31+D32+D33+D34</f>
        <v>4270357</v>
      </c>
      <c r="E6" s="131">
        <f>IF(C6=D6,"-",D6-C6)</f>
        <v>83118</v>
      </c>
      <c r="F6" s="148">
        <f>IF(C6=0,"-",D6/C6)</f>
        <v>1.0199</v>
      </c>
    </row>
    <row r="7" spans="1:6" ht="33" customHeight="1" x14ac:dyDescent="0.2">
      <c r="A7" s="93" t="s">
        <v>1</v>
      </c>
      <c r="B7" s="15" t="s">
        <v>119</v>
      </c>
      <c r="C7" s="36">
        <v>596000</v>
      </c>
      <c r="D7" s="14">
        <f>C7+7768</f>
        <v>603768</v>
      </c>
      <c r="E7" s="43">
        <f t="shared" ref="E7:E65" si="0">IF(C7=D7,"-",D7-C7)</f>
        <v>7768</v>
      </c>
      <c r="F7" s="44">
        <f t="shared" ref="F7:F65" si="1">IF(C7=0,"-",D7/C7)</f>
        <v>1.0129999999999999</v>
      </c>
    </row>
    <row r="8" spans="1:6" ht="33" customHeight="1" x14ac:dyDescent="0.2">
      <c r="A8" s="93" t="s">
        <v>2</v>
      </c>
      <c r="B8" s="15" t="s">
        <v>120</v>
      </c>
      <c r="C8" s="36">
        <v>347914</v>
      </c>
      <c r="D8" s="14">
        <f>C8</f>
        <v>347914</v>
      </c>
      <c r="E8" s="43" t="str">
        <f t="shared" si="0"/>
        <v>-</v>
      </c>
      <c r="F8" s="44">
        <f t="shared" si="1"/>
        <v>1</v>
      </c>
    </row>
    <row r="9" spans="1:6" ht="33" customHeight="1" x14ac:dyDescent="0.2">
      <c r="A9" s="93" t="s">
        <v>3</v>
      </c>
      <c r="B9" s="15" t="s">
        <v>117</v>
      </c>
      <c r="C9" s="36">
        <v>1991223</v>
      </c>
      <c r="D9" s="14">
        <f>C9+68500</f>
        <v>2059723</v>
      </c>
      <c r="E9" s="43">
        <f t="shared" si="0"/>
        <v>68500</v>
      </c>
      <c r="F9" s="44">
        <f t="shared" si="1"/>
        <v>1.0344</v>
      </c>
    </row>
    <row r="10" spans="1:6" ht="31.5" customHeight="1" x14ac:dyDescent="0.2">
      <c r="A10" s="94" t="s">
        <v>56</v>
      </c>
      <c r="B10" s="89" t="s">
        <v>142</v>
      </c>
      <c r="C10" s="36">
        <v>203592</v>
      </c>
      <c r="D10" s="14">
        <f t="shared" ref="D10:D34" si="2">C10</f>
        <v>203592</v>
      </c>
      <c r="E10" s="43" t="str">
        <f t="shared" si="0"/>
        <v>-</v>
      </c>
      <c r="F10" s="44">
        <f t="shared" si="1"/>
        <v>1</v>
      </c>
    </row>
    <row r="11" spans="1:6" ht="31.5" customHeight="1" x14ac:dyDescent="0.2">
      <c r="A11" s="94" t="s">
        <v>143</v>
      </c>
      <c r="B11" s="89" t="s">
        <v>146</v>
      </c>
      <c r="C11" s="36">
        <v>187671</v>
      </c>
      <c r="D11" s="14">
        <f t="shared" si="2"/>
        <v>187671</v>
      </c>
      <c r="E11" s="43" t="str">
        <f t="shared" si="0"/>
        <v>-</v>
      </c>
      <c r="F11" s="44">
        <f t="shared" si="1"/>
        <v>1</v>
      </c>
    </row>
    <row r="12" spans="1:6" ht="31.5" customHeight="1" x14ac:dyDescent="0.2">
      <c r="A12" s="94" t="s">
        <v>144</v>
      </c>
      <c r="B12" s="89" t="s">
        <v>147</v>
      </c>
      <c r="C12" s="36">
        <v>84076</v>
      </c>
      <c r="D12" s="14">
        <f t="shared" si="2"/>
        <v>84076</v>
      </c>
      <c r="E12" s="43" t="str">
        <f t="shared" si="0"/>
        <v>-</v>
      </c>
      <c r="F12" s="44">
        <f t="shared" si="1"/>
        <v>1</v>
      </c>
    </row>
    <row r="13" spans="1:6" ht="31.5" customHeight="1" x14ac:dyDescent="0.2">
      <c r="A13" s="94" t="s">
        <v>145</v>
      </c>
      <c r="B13" s="89" t="s">
        <v>148</v>
      </c>
      <c r="C13" s="36">
        <v>46386</v>
      </c>
      <c r="D13" s="14">
        <f t="shared" si="2"/>
        <v>46386</v>
      </c>
      <c r="E13" s="43" t="str">
        <f t="shared" si="0"/>
        <v>-</v>
      </c>
      <c r="F13" s="44">
        <f t="shared" si="1"/>
        <v>1</v>
      </c>
    </row>
    <row r="14" spans="1:6" ht="33" customHeight="1" x14ac:dyDescent="0.2">
      <c r="A14" s="93" t="s">
        <v>4</v>
      </c>
      <c r="B14" s="15" t="s">
        <v>125</v>
      </c>
      <c r="C14" s="36">
        <v>165587</v>
      </c>
      <c r="D14" s="14">
        <f t="shared" si="2"/>
        <v>165587</v>
      </c>
      <c r="E14" s="43" t="str">
        <f t="shared" si="0"/>
        <v>-</v>
      </c>
      <c r="F14" s="44">
        <f t="shared" si="1"/>
        <v>1</v>
      </c>
    </row>
    <row r="15" spans="1:6" ht="33" customHeight="1" x14ac:dyDescent="0.2">
      <c r="A15" s="93" t="s">
        <v>5</v>
      </c>
      <c r="B15" s="15" t="s">
        <v>121</v>
      </c>
      <c r="C15" s="36">
        <v>117999</v>
      </c>
      <c r="D15" s="14">
        <f>C15+500</f>
        <v>118499</v>
      </c>
      <c r="E15" s="43">
        <f t="shared" si="0"/>
        <v>500</v>
      </c>
      <c r="F15" s="44">
        <f t="shared" si="1"/>
        <v>1.0042</v>
      </c>
    </row>
    <row r="16" spans="1:6" ht="33" customHeight="1" x14ac:dyDescent="0.2">
      <c r="A16" s="93" t="s">
        <v>6</v>
      </c>
      <c r="B16" s="15" t="s">
        <v>127</v>
      </c>
      <c r="C16" s="36">
        <v>50081</v>
      </c>
      <c r="D16" s="14">
        <f>C16+3350</f>
        <v>53431</v>
      </c>
      <c r="E16" s="43">
        <f t="shared" si="0"/>
        <v>3350</v>
      </c>
      <c r="F16" s="44">
        <f t="shared" si="1"/>
        <v>1.0669</v>
      </c>
    </row>
    <row r="17" spans="1:6" ht="33" customHeight="1" x14ac:dyDescent="0.2">
      <c r="A17" s="93" t="s">
        <v>7</v>
      </c>
      <c r="B17" s="15" t="s">
        <v>126</v>
      </c>
      <c r="C17" s="36">
        <v>40910</v>
      </c>
      <c r="D17" s="14">
        <f t="shared" si="2"/>
        <v>40910</v>
      </c>
      <c r="E17" s="43" t="str">
        <f t="shared" si="0"/>
        <v>-</v>
      </c>
      <c r="F17" s="44">
        <f t="shared" si="1"/>
        <v>1</v>
      </c>
    </row>
    <row r="18" spans="1:6" ht="33" customHeight="1" x14ac:dyDescent="0.2">
      <c r="A18" s="93" t="s">
        <v>8</v>
      </c>
      <c r="B18" s="15" t="s">
        <v>122</v>
      </c>
      <c r="C18" s="36">
        <v>109535</v>
      </c>
      <c r="D18" s="14">
        <f t="shared" si="2"/>
        <v>109535</v>
      </c>
      <c r="E18" s="43" t="str">
        <f t="shared" si="0"/>
        <v>-</v>
      </c>
      <c r="F18" s="44">
        <f t="shared" si="1"/>
        <v>1</v>
      </c>
    </row>
    <row r="19" spans="1:6" ht="33" customHeight="1" x14ac:dyDescent="0.2">
      <c r="A19" s="93" t="s">
        <v>9</v>
      </c>
      <c r="B19" s="15" t="s">
        <v>123</v>
      </c>
      <c r="C19" s="36">
        <v>27649</v>
      </c>
      <c r="D19" s="14">
        <f t="shared" si="2"/>
        <v>27649</v>
      </c>
      <c r="E19" s="43" t="str">
        <f t="shared" si="0"/>
        <v>-</v>
      </c>
      <c r="F19" s="44">
        <f t="shared" si="1"/>
        <v>1</v>
      </c>
    </row>
    <row r="20" spans="1:6" ht="33" customHeight="1" x14ac:dyDescent="0.2">
      <c r="A20" s="93" t="s">
        <v>10</v>
      </c>
      <c r="B20" s="15" t="s">
        <v>128</v>
      </c>
      <c r="C20" s="36">
        <v>1504</v>
      </c>
      <c r="D20" s="14">
        <f t="shared" si="2"/>
        <v>1504</v>
      </c>
      <c r="E20" s="43" t="str">
        <f t="shared" si="0"/>
        <v>-</v>
      </c>
      <c r="F20" s="44">
        <f t="shared" si="1"/>
        <v>1</v>
      </c>
    </row>
    <row r="21" spans="1:6" ht="46.5" customHeight="1" x14ac:dyDescent="0.2">
      <c r="A21" s="93" t="s">
        <v>11</v>
      </c>
      <c r="B21" s="15" t="s">
        <v>124</v>
      </c>
      <c r="C21" s="36">
        <v>10359</v>
      </c>
      <c r="D21" s="14">
        <f t="shared" si="2"/>
        <v>10359</v>
      </c>
      <c r="E21" s="43" t="str">
        <f t="shared" si="0"/>
        <v>-</v>
      </c>
      <c r="F21" s="44">
        <f t="shared" si="1"/>
        <v>1</v>
      </c>
    </row>
    <row r="22" spans="1:6" ht="33" customHeight="1" x14ac:dyDescent="0.2">
      <c r="A22" s="93" t="s">
        <v>12</v>
      </c>
      <c r="B22" s="15" t="s">
        <v>165</v>
      </c>
      <c r="C22" s="36">
        <v>130467</v>
      </c>
      <c r="D22" s="14">
        <f>C22+3000</f>
        <v>133467</v>
      </c>
      <c r="E22" s="43">
        <f t="shared" si="0"/>
        <v>3000</v>
      </c>
      <c r="F22" s="44">
        <f t="shared" si="1"/>
        <v>1.0229999999999999</v>
      </c>
    </row>
    <row r="23" spans="1:6" ht="33" customHeight="1" x14ac:dyDescent="0.2">
      <c r="A23" s="93" t="s">
        <v>13</v>
      </c>
      <c r="B23" s="15" t="s">
        <v>149</v>
      </c>
      <c r="C23" s="36">
        <v>58200</v>
      </c>
      <c r="D23" s="14">
        <f t="shared" si="2"/>
        <v>58200</v>
      </c>
      <c r="E23" s="43" t="str">
        <f t="shared" si="0"/>
        <v>-</v>
      </c>
      <c r="F23" s="44">
        <f t="shared" si="1"/>
        <v>1</v>
      </c>
    </row>
    <row r="24" spans="1:6" ht="33" customHeight="1" x14ac:dyDescent="0.2">
      <c r="A24" s="95" t="s">
        <v>14</v>
      </c>
      <c r="B24" s="35" t="s">
        <v>222</v>
      </c>
      <c r="C24" s="36">
        <v>536512</v>
      </c>
      <c r="D24" s="36">
        <f>SUM(D25:D27)</f>
        <v>536512</v>
      </c>
      <c r="E24" s="43" t="str">
        <f t="shared" si="0"/>
        <v>-</v>
      </c>
      <c r="F24" s="44">
        <f t="shared" si="1"/>
        <v>1</v>
      </c>
    </row>
    <row r="25" spans="1:6" ht="37.5" x14ac:dyDescent="0.2">
      <c r="A25" s="94" t="s">
        <v>129</v>
      </c>
      <c r="B25" s="89" t="s">
        <v>151</v>
      </c>
      <c r="C25" s="36">
        <v>534815</v>
      </c>
      <c r="D25" s="14">
        <f t="shared" si="2"/>
        <v>534815</v>
      </c>
      <c r="E25" s="43" t="str">
        <f t="shared" si="0"/>
        <v>-</v>
      </c>
      <c r="F25" s="44">
        <f t="shared" si="1"/>
        <v>1</v>
      </c>
    </row>
    <row r="26" spans="1:6" ht="31.5" customHeight="1" x14ac:dyDescent="0.2">
      <c r="A26" s="94" t="s">
        <v>150</v>
      </c>
      <c r="B26" s="89" t="s">
        <v>153</v>
      </c>
      <c r="C26" s="36">
        <v>931</v>
      </c>
      <c r="D26" s="14">
        <f t="shared" si="2"/>
        <v>931</v>
      </c>
      <c r="E26" s="43" t="str">
        <f t="shared" si="0"/>
        <v>-</v>
      </c>
      <c r="F26" s="44">
        <f t="shared" si="1"/>
        <v>1</v>
      </c>
    </row>
    <row r="27" spans="1:6" ht="37.5" x14ac:dyDescent="0.2">
      <c r="A27" s="94" t="s">
        <v>154</v>
      </c>
      <c r="B27" s="89" t="s">
        <v>152</v>
      </c>
      <c r="C27" s="36">
        <v>766</v>
      </c>
      <c r="D27" s="14">
        <f t="shared" si="2"/>
        <v>766</v>
      </c>
      <c r="E27" s="43" t="str">
        <f t="shared" si="0"/>
        <v>-</v>
      </c>
      <c r="F27" s="44">
        <f t="shared" si="1"/>
        <v>1</v>
      </c>
    </row>
    <row r="28" spans="1:6" ht="33" customHeight="1" x14ac:dyDescent="0.2">
      <c r="A28" s="96" t="s">
        <v>15</v>
      </c>
      <c r="B28" s="16" t="s">
        <v>113</v>
      </c>
      <c r="C28" s="36">
        <v>0</v>
      </c>
      <c r="D28" s="14">
        <f t="shared" si="2"/>
        <v>0</v>
      </c>
      <c r="E28" s="43" t="str">
        <f t="shared" si="0"/>
        <v>-</v>
      </c>
      <c r="F28" s="44" t="str">
        <f t="shared" si="1"/>
        <v>-</v>
      </c>
    </row>
    <row r="29" spans="1:6" ht="33" customHeight="1" x14ac:dyDescent="0.2">
      <c r="A29" s="96" t="s">
        <v>110</v>
      </c>
      <c r="B29" s="17" t="s">
        <v>155</v>
      </c>
      <c r="C29" s="36">
        <v>0</v>
      </c>
      <c r="D29" s="14">
        <f>C29</f>
        <v>0</v>
      </c>
      <c r="E29" s="43" t="str">
        <f t="shared" si="0"/>
        <v>-</v>
      </c>
      <c r="F29" s="44" t="str">
        <f t="shared" si="1"/>
        <v>-</v>
      </c>
    </row>
    <row r="30" spans="1:6" ht="31.5" customHeight="1" x14ac:dyDescent="0.2">
      <c r="A30" s="94" t="s">
        <v>156</v>
      </c>
      <c r="B30" s="89" t="s">
        <v>167</v>
      </c>
      <c r="C30" s="36">
        <v>0</v>
      </c>
      <c r="D30" s="14">
        <f t="shared" si="2"/>
        <v>0</v>
      </c>
      <c r="E30" s="43" t="str">
        <f t="shared" si="0"/>
        <v>-</v>
      </c>
      <c r="F30" s="44" t="str">
        <f t="shared" si="1"/>
        <v>-</v>
      </c>
    </row>
    <row r="31" spans="1:6" ht="33" customHeight="1" x14ac:dyDescent="0.2">
      <c r="A31" s="96" t="s">
        <v>111</v>
      </c>
      <c r="B31" s="17" t="s">
        <v>114</v>
      </c>
      <c r="C31" s="36">
        <v>0</v>
      </c>
      <c r="D31" s="14">
        <f t="shared" si="2"/>
        <v>0</v>
      </c>
      <c r="E31" s="43" t="str">
        <f t="shared" si="0"/>
        <v>-</v>
      </c>
      <c r="F31" s="44" t="str">
        <f t="shared" si="1"/>
        <v>-</v>
      </c>
    </row>
    <row r="32" spans="1:6" ht="33" customHeight="1" x14ac:dyDescent="0.2">
      <c r="A32" s="96" t="s">
        <v>112</v>
      </c>
      <c r="B32" s="17" t="s">
        <v>166</v>
      </c>
      <c r="C32" s="36">
        <v>3299</v>
      </c>
      <c r="D32" s="14">
        <f t="shared" si="2"/>
        <v>3299</v>
      </c>
      <c r="E32" s="43" t="str">
        <f t="shared" si="0"/>
        <v>-</v>
      </c>
      <c r="F32" s="44">
        <f t="shared" si="1"/>
        <v>1</v>
      </c>
    </row>
    <row r="33" spans="1:6" ht="42.75" customHeight="1" x14ac:dyDescent="0.2">
      <c r="A33" s="96" t="s">
        <v>223</v>
      </c>
      <c r="B33" s="17" t="s">
        <v>224</v>
      </c>
      <c r="C33" s="36">
        <v>0</v>
      </c>
      <c r="D33" s="14">
        <f t="shared" si="2"/>
        <v>0</v>
      </c>
      <c r="E33" s="43" t="str">
        <f>IF(C33=D33,"-",D33-C33)</f>
        <v>-</v>
      </c>
      <c r="F33" s="44" t="str">
        <f>IF(C33=0,"-",D33/C33)</f>
        <v>-</v>
      </c>
    </row>
    <row r="34" spans="1:6" ht="33" customHeight="1" x14ac:dyDescent="0.2">
      <c r="A34" s="96" t="s">
        <v>233</v>
      </c>
      <c r="B34" s="17" t="s">
        <v>234</v>
      </c>
      <c r="C34" s="36">
        <v>0</v>
      </c>
      <c r="D34" s="14">
        <f t="shared" si="2"/>
        <v>0</v>
      </c>
      <c r="E34" s="43" t="str">
        <f>IF(C34=D34,"-",D34-C34)</f>
        <v>-</v>
      </c>
      <c r="F34" s="44" t="str">
        <f>IF(C34=0,"-",D34/C34)</f>
        <v>-</v>
      </c>
    </row>
    <row r="35" spans="1:6" s="3" customFormat="1" ht="31.5" customHeight="1" x14ac:dyDescent="0.2">
      <c r="A35" s="97" t="s">
        <v>58</v>
      </c>
      <c r="B35" s="18" t="s">
        <v>59</v>
      </c>
      <c r="C35" s="37">
        <v>0</v>
      </c>
      <c r="D35" s="42">
        <f>C35</f>
        <v>0</v>
      </c>
      <c r="E35" s="8" t="str">
        <f t="shared" si="0"/>
        <v>-</v>
      </c>
      <c r="F35" s="45" t="str">
        <f t="shared" si="1"/>
        <v>-</v>
      </c>
    </row>
    <row r="36" spans="1:6" s="3" customFormat="1" ht="31.5" customHeight="1" x14ac:dyDescent="0.2">
      <c r="A36" s="97" t="s">
        <v>57</v>
      </c>
      <c r="B36" s="18" t="s">
        <v>60</v>
      </c>
      <c r="C36" s="37">
        <v>106532</v>
      </c>
      <c r="D36" s="42">
        <f>C36</f>
        <v>106532</v>
      </c>
      <c r="E36" s="8" t="str">
        <f t="shared" si="0"/>
        <v>-</v>
      </c>
      <c r="F36" s="45">
        <f t="shared" si="1"/>
        <v>1</v>
      </c>
    </row>
    <row r="37" spans="1:6" s="3" customFormat="1" ht="40.5" x14ac:dyDescent="0.2">
      <c r="A37" s="97" t="s">
        <v>235</v>
      </c>
      <c r="B37" s="18" t="s">
        <v>236</v>
      </c>
      <c r="C37" s="37">
        <v>30305</v>
      </c>
      <c r="D37" s="42">
        <f>C37</f>
        <v>30305</v>
      </c>
      <c r="E37" s="8" t="str">
        <f t="shared" si="0"/>
        <v>-</v>
      </c>
      <c r="F37" s="45">
        <f t="shared" si="1"/>
        <v>1</v>
      </c>
    </row>
    <row r="38" spans="1:6" s="3" customFormat="1" ht="42.75" customHeight="1" x14ac:dyDescent="0.2">
      <c r="A38" s="97" t="s">
        <v>157</v>
      </c>
      <c r="B38" s="18" t="s">
        <v>158</v>
      </c>
      <c r="C38" s="37">
        <f>C11+C13+C24+C30</f>
        <v>770569</v>
      </c>
      <c r="D38" s="37">
        <f>D11+D13+D24+D30</f>
        <v>770569</v>
      </c>
      <c r="E38" s="8" t="str">
        <f t="shared" si="0"/>
        <v>-</v>
      </c>
      <c r="F38" s="45">
        <f t="shared" si="1"/>
        <v>1</v>
      </c>
    </row>
    <row r="39" spans="1:6" ht="30" customHeight="1" x14ac:dyDescent="0.2">
      <c r="A39" s="151" t="s">
        <v>16</v>
      </c>
      <c r="B39" s="152" t="s">
        <v>228</v>
      </c>
      <c r="C39" s="135">
        <f>C40+C41+C42+C50+C52+C58+C59+C57</f>
        <v>33134</v>
      </c>
      <c r="D39" s="135">
        <f>D40+D41+D42+D50+D52+D58+D59+D57</f>
        <v>33134</v>
      </c>
      <c r="E39" s="131" t="str">
        <f t="shared" si="0"/>
        <v>-</v>
      </c>
      <c r="F39" s="153">
        <f t="shared" si="1"/>
        <v>1</v>
      </c>
    </row>
    <row r="40" spans="1:6" ht="28.5" customHeight="1" x14ac:dyDescent="0.2">
      <c r="A40" s="96" t="s">
        <v>17</v>
      </c>
      <c r="B40" s="20" t="s">
        <v>18</v>
      </c>
      <c r="C40" s="36">
        <v>1599</v>
      </c>
      <c r="D40" s="38">
        <f>C40</f>
        <v>1599</v>
      </c>
      <c r="E40" s="43" t="str">
        <f t="shared" si="0"/>
        <v>-</v>
      </c>
      <c r="F40" s="44">
        <f t="shared" si="1"/>
        <v>1</v>
      </c>
    </row>
    <row r="41" spans="1:6" ht="28.5" customHeight="1" x14ac:dyDescent="0.2">
      <c r="A41" s="96" t="s">
        <v>19</v>
      </c>
      <c r="B41" s="20" t="s">
        <v>20</v>
      </c>
      <c r="C41" s="36">
        <v>3289</v>
      </c>
      <c r="D41" s="38">
        <f t="shared" ref="D41:D59" si="3">C41</f>
        <v>3289</v>
      </c>
      <c r="E41" s="43" t="str">
        <f t="shared" si="0"/>
        <v>-</v>
      </c>
      <c r="F41" s="44">
        <f t="shared" si="1"/>
        <v>1</v>
      </c>
    </row>
    <row r="42" spans="1:6" ht="28.5" customHeight="1" x14ac:dyDescent="0.2">
      <c r="A42" s="96" t="s">
        <v>21</v>
      </c>
      <c r="B42" s="21" t="s">
        <v>229</v>
      </c>
      <c r="C42" s="38">
        <f>C43+C45+C46+C47+C48+C49</f>
        <v>135</v>
      </c>
      <c r="D42" s="38">
        <f>D43+D45+D46+D47+D48+D49</f>
        <v>135</v>
      </c>
      <c r="E42" s="43" t="str">
        <f t="shared" si="0"/>
        <v>-</v>
      </c>
      <c r="F42" s="44">
        <f t="shared" si="1"/>
        <v>1</v>
      </c>
    </row>
    <row r="43" spans="1:6" ht="28.5" customHeight="1" x14ac:dyDescent="0.2">
      <c r="A43" s="99" t="s">
        <v>39</v>
      </c>
      <c r="B43" s="90" t="s">
        <v>32</v>
      </c>
      <c r="C43" s="36">
        <v>44</v>
      </c>
      <c r="D43" s="38">
        <f t="shared" si="3"/>
        <v>44</v>
      </c>
      <c r="E43" s="43" t="str">
        <f t="shared" si="0"/>
        <v>-</v>
      </c>
      <c r="F43" s="44">
        <f t="shared" si="1"/>
        <v>1</v>
      </c>
    </row>
    <row r="44" spans="1:6" ht="28.5" customHeight="1" x14ac:dyDescent="0.2">
      <c r="A44" s="99" t="s">
        <v>40</v>
      </c>
      <c r="B44" s="91" t="s">
        <v>33</v>
      </c>
      <c r="C44" s="36">
        <v>44</v>
      </c>
      <c r="D44" s="38">
        <f t="shared" si="3"/>
        <v>44</v>
      </c>
      <c r="E44" s="43" t="str">
        <f t="shared" si="0"/>
        <v>-</v>
      </c>
      <c r="F44" s="44">
        <f t="shared" si="1"/>
        <v>1</v>
      </c>
    </row>
    <row r="45" spans="1:6" ht="28.5" customHeight="1" x14ac:dyDescent="0.2">
      <c r="A45" s="99" t="s">
        <v>41</v>
      </c>
      <c r="B45" s="90" t="s">
        <v>34</v>
      </c>
      <c r="C45" s="36">
        <v>36</v>
      </c>
      <c r="D45" s="38">
        <f t="shared" si="3"/>
        <v>36</v>
      </c>
      <c r="E45" s="43" t="str">
        <f t="shared" si="0"/>
        <v>-</v>
      </c>
      <c r="F45" s="44">
        <f t="shared" si="1"/>
        <v>1</v>
      </c>
    </row>
    <row r="46" spans="1:6" ht="28.5" customHeight="1" x14ac:dyDescent="0.2">
      <c r="A46" s="99" t="s">
        <v>42</v>
      </c>
      <c r="B46" s="90" t="s">
        <v>35</v>
      </c>
      <c r="C46" s="36">
        <v>0</v>
      </c>
      <c r="D46" s="38">
        <f t="shared" si="3"/>
        <v>0</v>
      </c>
      <c r="E46" s="43" t="str">
        <f t="shared" si="0"/>
        <v>-</v>
      </c>
      <c r="F46" s="44" t="str">
        <f t="shared" si="1"/>
        <v>-</v>
      </c>
    </row>
    <row r="47" spans="1:6" ht="28.5" customHeight="1" x14ac:dyDescent="0.2">
      <c r="A47" s="99" t="s">
        <v>43</v>
      </c>
      <c r="B47" s="90" t="s">
        <v>36</v>
      </c>
      <c r="C47" s="36">
        <v>0</v>
      </c>
      <c r="D47" s="38">
        <f t="shared" si="3"/>
        <v>0</v>
      </c>
      <c r="E47" s="43" t="str">
        <f t="shared" si="0"/>
        <v>-</v>
      </c>
      <c r="F47" s="44" t="str">
        <f t="shared" si="1"/>
        <v>-</v>
      </c>
    </row>
    <row r="48" spans="1:6" ht="28.5" customHeight="1" x14ac:dyDescent="0.2">
      <c r="A48" s="99" t="s">
        <v>44</v>
      </c>
      <c r="B48" s="90" t="s">
        <v>37</v>
      </c>
      <c r="C48" s="36">
        <v>33</v>
      </c>
      <c r="D48" s="38">
        <f t="shared" si="3"/>
        <v>33</v>
      </c>
      <c r="E48" s="43" t="str">
        <f t="shared" si="0"/>
        <v>-</v>
      </c>
      <c r="F48" s="44">
        <f t="shared" si="1"/>
        <v>1</v>
      </c>
    </row>
    <row r="49" spans="1:6" ht="28.5" customHeight="1" x14ac:dyDescent="0.2">
      <c r="A49" s="99" t="s">
        <v>45</v>
      </c>
      <c r="B49" s="90" t="s">
        <v>38</v>
      </c>
      <c r="C49" s="36">
        <v>22</v>
      </c>
      <c r="D49" s="38">
        <f t="shared" si="3"/>
        <v>22</v>
      </c>
      <c r="E49" s="43" t="str">
        <f t="shared" si="0"/>
        <v>-</v>
      </c>
      <c r="F49" s="44">
        <f t="shared" si="1"/>
        <v>1</v>
      </c>
    </row>
    <row r="50" spans="1:6" ht="28.5" customHeight="1" x14ac:dyDescent="0.2">
      <c r="A50" s="96" t="s">
        <v>22</v>
      </c>
      <c r="B50" s="20" t="s">
        <v>159</v>
      </c>
      <c r="C50" s="36">
        <v>19778</v>
      </c>
      <c r="D50" s="38">
        <f t="shared" si="3"/>
        <v>19778</v>
      </c>
      <c r="E50" s="43" t="str">
        <f t="shared" si="0"/>
        <v>-</v>
      </c>
      <c r="F50" s="44">
        <f t="shared" si="1"/>
        <v>1</v>
      </c>
    </row>
    <row r="51" spans="1:6" ht="28.5" customHeight="1" x14ac:dyDescent="0.2">
      <c r="A51" s="99" t="s">
        <v>160</v>
      </c>
      <c r="B51" s="90" t="s">
        <v>161</v>
      </c>
      <c r="C51" s="36">
        <v>100</v>
      </c>
      <c r="D51" s="38">
        <f t="shared" si="3"/>
        <v>100</v>
      </c>
      <c r="E51" s="43" t="str">
        <f t="shared" si="0"/>
        <v>-</v>
      </c>
      <c r="F51" s="44">
        <f t="shared" si="1"/>
        <v>1</v>
      </c>
    </row>
    <row r="52" spans="1:6" ht="28.5" customHeight="1" x14ac:dyDescent="0.2">
      <c r="A52" s="96" t="s">
        <v>23</v>
      </c>
      <c r="B52" s="21" t="s">
        <v>227</v>
      </c>
      <c r="C52" s="34">
        <f>C53+C54+C55+C56</f>
        <v>4488</v>
      </c>
      <c r="D52" s="34">
        <f>D53+D54+D55+D56</f>
        <v>4488</v>
      </c>
      <c r="E52" s="43" t="str">
        <f t="shared" si="0"/>
        <v>-</v>
      </c>
      <c r="F52" s="44">
        <f t="shared" si="1"/>
        <v>1</v>
      </c>
    </row>
    <row r="53" spans="1:6" ht="28.5" customHeight="1" x14ac:dyDescent="0.2">
      <c r="A53" s="99" t="s">
        <v>50</v>
      </c>
      <c r="B53" s="90" t="s">
        <v>46</v>
      </c>
      <c r="C53" s="36">
        <v>3394</v>
      </c>
      <c r="D53" s="38">
        <f t="shared" si="3"/>
        <v>3394</v>
      </c>
      <c r="E53" s="43" t="str">
        <f t="shared" si="0"/>
        <v>-</v>
      </c>
      <c r="F53" s="44">
        <f t="shared" si="1"/>
        <v>1</v>
      </c>
    </row>
    <row r="54" spans="1:6" ht="28.5" customHeight="1" x14ac:dyDescent="0.2">
      <c r="A54" s="99" t="s">
        <v>51</v>
      </c>
      <c r="B54" s="90" t="s">
        <v>47</v>
      </c>
      <c r="C54" s="36">
        <v>485</v>
      </c>
      <c r="D54" s="38">
        <f t="shared" si="3"/>
        <v>485</v>
      </c>
      <c r="E54" s="43" t="str">
        <f t="shared" si="0"/>
        <v>-</v>
      </c>
      <c r="F54" s="44">
        <f t="shared" si="1"/>
        <v>1</v>
      </c>
    </row>
    <row r="55" spans="1:6" ht="28.5" customHeight="1" x14ac:dyDescent="0.2">
      <c r="A55" s="99" t="s">
        <v>52</v>
      </c>
      <c r="B55" s="90" t="s">
        <v>48</v>
      </c>
      <c r="C55" s="36">
        <v>0</v>
      </c>
      <c r="D55" s="38">
        <f t="shared" si="3"/>
        <v>0</v>
      </c>
      <c r="E55" s="43" t="str">
        <f t="shared" si="0"/>
        <v>-</v>
      </c>
      <c r="F55" s="44" t="str">
        <f t="shared" si="1"/>
        <v>-</v>
      </c>
    </row>
    <row r="56" spans="1:6" ht="28.5" customHeight="1" x14ac:dyDescent="0.2">
      <c r="A56" s="99" t="s">
        <v>53</v>
      </c>
      <c r="B56" s="90" t="s">
        <v>49</v>
      </c>
      <c r="C56" s="36">
        <v>609</v>
      </c>
      <c r="D56" s="38">
        <f t="shared" si="3"/>
        <v>609</v>
      </c>
      <c r="E56" s="43" t="str">
        <f t="shared" si="0"/>
        <v>-</v>
      </c>
      <c r="F56" s="44">
        <f t="shared" si="1"/>
        <v>1</v>
      </c>
    </row>
    <row r="57" spans="1:6" ht="28.5" customHeight="1" x14ac:dyDescent="0.2">
      <c r="A57" s="96" t="s">
        <v>24</v>
      </c>
      <c r="B57" s="20" t="s">
        <v>25</v>
      </c>
      <c r="C57" s="36">
        <v>0</v>
      </c>
      <c r="D57" s="38">
        <f t="shared" si="3"/>
        <v>0</v>
      </c>
      <c r="E57" s="43" t="str">
        <f t="shared" si="0"/>
        <v>-</v>
      </c>
      <c r="F57" s="44" t="str">
        <f t="shared" si="1"/>
        <v>-</v>
      </c>
    </row>
    <row r="58" spans="1:6" ht="28.5" customHeight="1" x14ac:dyDescent="0.2">
      <c r="A58" s="96" t="s">
        <v>26</v>
      </c>
      <c r="B58" s="20" t="s">
        <v>162</v>
      </c>
      <c r="C58" s="36">
        <v>3600</v>
      </c>
      <c r="D58" s="38">
        <f t="shared" si="3"/>
        <v>3600</v>
      </c>
      <c r="E58" s="43" t="str">
        <f t="shared" si="0"/>
        <v>-</v>
      </c>
      <c r="F58" s="46">
        <f t="shared" si="1"/>
        <v>1</v>
      </c>
    </row>
    <row r="59" spans="1:6" ht="28.5" customHeight="1" x14ac:dyDescent="0.2">
      <c r="A59" s="96" t="s">
        <v>27</v>
      </c>
      <c r="B59" s="20" t="s">
        <v>28</v>
      </c>
      <c r="C59" s="36">
        <v>245</v>
      </c>
      <c r="D59" s="38">
        <f t="shared" si="3"/>
        <v>245</v>
      </c>
      <c r="E59" s="43" t="str">
        <f t="shared" si="0"/>
        <v>-</v>
      </c>
      <c r="F59" s="44">
        <f t="shared" si="1"/>
        <v>1</v>
      </c>
    </row>
    <row r="60" spans="1:6" ht="30" customHeight="1" x14ac:dyDescent="0.2">
      <c r="A60" s="142" t="s">
        <v>135</v>
      </c>
      <c r="B60" s="143" t="s">
        <v>163</v>
      </c>
      <c r="C60" s="154">
        <f>C61+C62+C63+C64</f>
        <v>8332</v>
      </c>
      <c r="D60" s="154">
        <f>D61+D62+D63+D64</f>
        <v>8332</v>
      </c>
      <c r="E60" s="131" t="str">
        <f t="shared" si="0"/>
        <v>-</v>
      </c>
      <c r="F60" s="155">
        <f t="shared" si="1"/>
        <v>1</v>
      </c>
    </row>
    <row r="61" spans="1:6" ht="42" customHeight="1" x14ac:dyDescent="0.2">
      <c r="A61" s="96" t="s">
        <v>101</v>
      </c>
      <c r="B61" s="20" t="s">
        <v>115</v>
      </c>
      <c r="C61" s="36">
        <v>59</v>
      </c>
      <c r="D61" s="38">
        <f>C61</f>
        <v>59</v>
      </c>
      <c r="E61" s="34" t="str">
        <f t="shared" si="0"/>
        <v>-</v>
      </c>
      <c r="F61" s="44">
        <f t="shared" si="1"/>
        <v>1</v>
      </c>
    </row>
    <row r="62" spans="1:6" ht="31.5" customHeight="1" x14ac:dyDescent="0.2">
      <c r="A62" s="96" t="s">
        <v>30</v>
      </c>
      <c r="B62" s="20" t="s">
        <v>55</v>
      </c>
      <c r="C62" s="36">
        <v>6273</v>
      </c>
      <c r="D62" s="38">
        <f>C62</f>
        <v>6273</v>
      </c>
      <c r="E62" s="34" t="str">
        <f t="shared" si="0"/>
        <v>-</v>
      </c>
      <c r="F62" s="44">
        <f t="shared" si="1"/>
        <v>1</v>
      </c>
    </row>
    <row r="63" spans="1:6" ht="31.5" customHeight="1" x14ac:dyDescent="0.2">
      <c r="A63" s="96" t="s">
        <v>31</v>
      </c>
      <c r="B63" s="20" t="s">
        <v>103</v>
      </c>
      <c r="C63" s="36">
        <v>0</v>
      </c>
      <c r="D63" s="38">
        <f>C63</f>
        <v>0</v>
      </c>
      <c r="E63" s="34" t="str">
        <f t="shared" si="0"/>
        <v>-</v>
      </c>
      <c r="F63" s="44" t="str">
        <f t="shared" si="1"/>
        <v>-</v>
      </c>
    </row>
    <row r="64" spans="1:6" ht="31.5" customHeight="1" x14ac:dyDescent="0.2">
      <c r="A64" s="96" t="s">
        <v>102</v>
      </c>
      <c r="B64" s="20" t="s">
        <v>104</v>
      </c>
      <c r="C64" s="36">
        <v>2000</v>
      </c>
      <c r="D64" s="38">
        <f>C64</f>
        <v>2000</v>
      </c>
      <c r="E64" s="34" t="str">
        <f t="shared" si="0"/>
        <v>-</v>
      </c>
      <c r="F64" s="44">
        <f t="shared" si="1"/>
        <v>1</v>
      </c>
    </row>
    <row r="65" spans="1:6" ht="32.25" customHeight="1" x14ac:dyDescent="0.2">
      <c r="A65" s="142" t="s">
        <v>137</v>
      </c>
      <c r="B65" s="143" t="s">
        <v>116</v>
      </c>
      <c r="C65" s="154">
        <v>3970</v>
      </c>
      <c r="D65" s="154">
        <f>C65</f>
        <v>3970</v>
      </c>
      <c r="E65" s="131" t="str">
        <f t="shared" si="0"/>
        <v>-</v>
      </c>
      <c r="F65" s="155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16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5.7109375" style="2" customWidth="1"/>
    <col min="4" max="4" width="26.85546875" style="2" customWidth="1"/>
    <col min="5" max="5" width="25.140625" style="2" customWidth="1"/>
    <col min="6" max="6" width="20.7109375" style="2" customWidth="1"/>
    <col min="7" max="16384" width="9.140625" style="2"/>
  </cols>
  <sheetData>
    <row r="1" spans="1:6" s="24" customFormat="1" ht="46.5" customHeight="1" x14ac:dyDescent="0.2">
      <c r="A1" s="160" t="str">
        <f>NFZ!A1</f>
        <v>ZMIANA PLANU FINANSOWEGO NARODOWEGO FUNDUSZU ZDROWIA NA 2017 ROK Z DNIA 18 LIPCA 2017 R.</v>
      </c>
      <c r="B1" s="160"/>
      <c r="C1" s="160"/>
      <c r="D1" s="160"/>
      <c r="E1" s="160"/>
      <c r="F1" s="160"/>
    </row>
    <row r="2" spans="1:6" s="26" customFormat="1" ht="33" customHeight="1" x14ac:dyDescent="0.2">
      <c r="A2" s="115" t="s">
        <v>72</v>
      </c>
      <c r="B2" s="115"/>
      <c r="C2" s="116"/>
    </row>
    <row r="3" spans="1:6" ht="33" customHeight="1" x14ac:dyDescent="0.25">
      <c r="A3" s="5"/>
      <c r="B3" s="6"/>
      <c r="C3" s="40"/>
      <c r="D3" s="40"/>
      <c r="E3" s="40" t="s">
        <v>141</v>
      </c>
      <c r="F3" s="7"/>
    </row>
    <row r="4" spans="1:6" s="117" customFormat="1" ht="65.099999999999994" customHeight="1" x14ac:dyDescent="0.2">
      <c r="A4" s="124" t="s">
        <v>118</v>
      </c>
      <c r="B4" s="124" t="s">
        <v>54</v>
      </c>
      <c r="C4" s="125" t="s">
        <v>230</v>
      </c>
      <c r="D4" s="125" t="s">
        <v>171</v>
      </c>
      <c r="E4" s="126" t="s">
        <v>172</v>
      </c>
      <c r="F4" s="126" t="s">
        <v>173</v>
      </c>
    </row>
    <row r="5" spans="1:6" s="118" customFormat="1" ht="14.25" x14ac:dyDescent="0.2">
      <c r="A5" s="127">
        <v>1</v>
      </c>
      <c r="B5" s="128">
        <v>2</v>
      </c>
      <c r="C5" s="127">
        <v>3</v>
      </c>
      <c r="D5" s="128">
        <v>4</v>
      </c>
      <c r="E5" s="127">
        <v>5</v>
      </c>
      <c r="F5" s="128">
        <v>6</v>
      </c>
    </row>
    <row r="6" spans="1:6" ht="30" customHeight="1" x14ac:dyDescent="0.2">
      <c r="A6" s="101" t="s">
        <v>0</v>
      </c>
      <c r="B6" s="73" t="s">
        <v>232</v>
      </c>
      <c r="C6" s="150">
        <f>C7+C8+C9+C14+C15+C16+C17+C18+C19+C20+C21+C22+C23+C24+C28+C29+C31+C32+C33+C34</f>
        <v>8802094</v>
      </c>
      <c r="D6" s="150">
        <f>D7+D8+D9+D14+D15+D16+D17+D18+D19+D20+D21+D22+D23+D24+D28+D29+D31+D32+D33+D34</f>
        <v>8976611</v>
      </c>
      <c r="E6" s="131">
        <f>IF(C6=D6,"-",D6-C6)</f>
        <v>174517</v>
      </c>
      <c r="F6" s="148">
        <f>IF(C6=0,"-",D6/C6)</f>
        <v>1.0198</v>
      </c>
    </row>
    <row r="7" spans="1:6" ht="33" customHeight="1" x14ac:dyDescent="0.2">
      <c r="A7" s="93" t="s">
        <v>1</v>
      </c>
      <c r="B7" s="15" t="s">
        <v>119</v>
      </c>
      <c r="C7" s="36">
        <v>1195269</v>
      </c>
      <c r="D7" s="14">
        <f>C7</f>
        <v>1195269</v>
      </c>
      <c r="E7" s="43" t="str">
        <f t="shared" ref="E7:E65" si="0">IF(C7=D7,"-",D7-C7)</f>
        <v>-</v>
      </c>
      <c r="F7" s="44">
        <f t="shared" ref="F7:F65" si="1">IF(C7=0,"-",D7/C7)</f>
        <v>1</v>
      </c>
    </row>
    <row r="8" spans="1:6" ht="33" customHeight="1" x14ac:dyDescent="0.2">
      <c r="A8" s="93" t="s">
        <v>2</v>
      </c>
      <c r="B8" s="15" t="s">
        <v>120</v>
      </c>
      <c r="C8" s="36">
        <v>753998</v>
      </c>
      <c r="D8" s="14">
        <f>C8+10000</f>
        <v>763998</v>
      </c>
      <c r="E8" s="43">
        <f t="shared" si="0"/>
        <v>10000</v>
      </c>
      <c r="F8" s="44">
        <f t="shared" si="1"/>
        <v>1.0133000000000001</v>
      </c>
    </row>
    <row r="9" spans="1:6" ht="33" customHeight="1" x14ac:dyDescent="0.2">
      <c r="A9" s="93" t="s">
        <v>3</v>
      </c>
      <c r="B9" s="15" t="s">
        <v>117</v>
      </c>
      <c r="C9" s="36">
        <v>4179340</v>
      </c>
      <c r="D9" s="14">
        <f>C9+85217-2000</f>
        <v>4262557</v>
      </c>
      <c r="E9" s="43">
        <f t="shared" si="0"/>
        <v>83217</v>
      </c>
      <c r="F9" s="44">
        <f t="shared" si="1"/>
        <v>1.0199</v>
      </c>
    </row>
    <row r="10" spans="1:6" ht="31.5" customHeight="1" x14ac:dyDescent="0.2">
      <c r="A10" s="94" t="s">
        <v>56</v>
      </c>
      <c r="B10" s="89" t="s">
        <v>142</v>
      </c>
      <c r="C10" s="36">
        <v>410636</v>
      </c>
      <c r="D10" s="14">
        <f t="shared" ref="D10:D34" si="2">C10</f>
        <v>410636</v>
      </c>
      <c r="E10" s="43" t="str">
        <f t="shared" si="0"/>
        <v>-</v>
      </c>
      <c r="F10" s="44">
        <f t="shared" si="1"/>
        <v>1</v>
      </c>
    </row>
    <row r="11" spans="1:6" ht="31.5" customHeight="1" x14ac:dyDescent="0.2">
      <c r="A11" s="94" t="s">
        <v>143</v>
      </c>
      <c r="B11" s="89" t="s">
        <v>146</v>
      </c>
      <c r="C11" s="36">
        <v>371137</v>
      </c>
      <c r="D11" s="14">
        <f t="shared" si="2"/>
        <v>371137</v>
      </c>
      <c r="E11" s="43" t="str">
        <f t="shared" si="0"/>
        <v>-</v>
      </c>
      <c r="F11" s="44">
        <f t="shared" si="1"/>
        <v>1</v>
      </c>
    </row>
    <row r="12" spans="1:6" ht="31.5" customHeight="1" x14ac:dyDescent="0.2">
      <c r="A12" s="94" t="s">
        <v>144</v>
      </c>
      <c r="B12" s="89" t="s">
        <v>147</v>
      </c>
      <c r="C12" s="36">
        <v>169375</v>
      </c>
      <c r="D12" s="14">
        <f t="shared" si="2"/>
        <v>169375</v>
      </c>
      <c r="E12" s="43" t="str">
        <f t="shared" si="0"/>
        <v>-</v>
      </c>
      <c r="F12" s="44">
        <f t="shared" si="1"/>
        <v>1</v>
      </c>
    </row>
    <row r="13" spans="1:6" ht="31.5" customHeight="1" x14ac:dyDescent="0.2">
      <c r="A13" s="94" t="s">
        <v>145</v>
      </c>
      <c r="B13" s="89" t="s">
        <v>148</v>
      </c>
      <c r="C13" s="36">
        <v>74643</v>
      </c>
      <c r="D13" s="14">
        <f t="shared" si="2"/>
        <v>74643</v>
      </c>
      <c r="E13" s="43" t="str">
        <f t="shared" si="0"/>
        <v>-</v>
      </c>
      <c r="F13" s="44">
        <f t="shared" si="1"/>
        <v>1</v>
      </c>
    </row>
    <row r="14" spans="1:6" ht="33" customHeight="1" x14ac:dyDescent="0.2">
      <c r="A14" s="93" t="s">
        <v>4</v>
      </c>
      <c r="B14" s="15" t="s">
        <v>125</v>
      </c>
      <c r="C14" s="36">
        <v>334493</v>
      </c>
      <c r="D14" s="14">
        <f t="shared" si="2"/>
        <v>334493</v>
      </c>
      <c r="E14" s="43" t="str">
        <f t="shared" si="0"/>
        <v>-</v>
      </c>
      <c r="F14" s="44">
        <f t="shared" si="1"/>
        <v>1</v>
      </c>
    </row>
    <row r="15" spans="1:6" ht="33" customHeight="1" x14ac:dyDescent="0.2">
      <c r="A15" s="93" t="s">
        <v>5</v>
      </c>
      <c r="B15" s="15" t="s">
        <v>121</v>
      </c>
      <c r="C15" s="36">
        <v>267782</v>
      </c>
      <c r="D15" s="14">
        <f t="shared" si="2"/>
        <v>267782</v>
      </c>
      <c r="E15" s="43" t="str">
        <f t="shared" si="0"/>
        <v>-</v>
      </c>
      <c r="F15" s="44">
        <f t="shared" si="1"/>
        <v>1</v>
      </c>
    </row>
    <row r="16" spans="1:6" ht="33" customHeight="1" x14ac:dyDescent="0.2">
      <c r="A16" s="93" t="s">
        <v>6</v>
      </c>
      <c r="B16" s="15" t="s">
        <v>127</v>
      </c>
      <c r="C16" s="36">
        <v>242587</v>
      </c>
      <c r="D16" s="14">
        <f>C16+5000</f>
        <v>247587</v>
      </c>
      <c r="E16" s="43">
        <f t="shared" si="0"/>
        <v>5000</v>
      </c>
      <c r="F16" s="44">
        <f t="shared" si="1"/>
        <v>1.0206</v>
      </c>
    </row>
    <row r="17" spans="1:6" ht="33" customHeight="1" x14ac:dyDescent="0.2">
      <c r="A17" s="93" t="s">
        <v>7</v>
      </c>
      <c r="B17" s="15" t="s">
        <v>126</v>
      </c>
      <c r="C17" s="36">
        <v>75605</v>
      </c>
      <c r="D17" s="14">
        <f>C17+5300</f>
        <v>80905</v>
      </c>
      <c r="E17" s="43">
        <f t="shared" si="0"/>
        <v>5300</v>
      </c>
      <c r="F17" s="44">
        <f t="shared" si="1"/>
        <v>1.0701000000000001</v>
      </c>
    </row>
    <row r="18" spans="1:6" ht="33" customHeight="1" x14ac:dyDescent="0.2">
      <c r="A18" s="93" t="s">
        <v>8</v>
      </c>
      <c r="B18" s="15" t="s">
        <v>122</v>
      </c>
      <c r="C18" s="36">
        <v>206654</v>
      </c>
      <c r="D18" s="14">
        <f t="shared" si="2"/>
        <v>206654</v>
      </c>
      <c r="E18" s="43" t="str">
        <f t="shared" si="0"/>
        <v>-</v>
      </c>
      <c r="F18" s="44">
        <f t="shared" si="1"/>
        <v>1</v>
      </c>
    </row>
    <row r="19" spans="1:6" ht="33" customHeight="1" x14ac:dyDescent="0.2">
      <c r="A19" s="93" t="s">
        <v>9</v>
      </c>
      <c r="B19" s="15" t="s">
        <v>123</v>
      </c>
      <c r="C19" s="36">
        <v>72496</v>
      </c>
      <c r="D19" s="14">
        <f t="shared" si="2"/>
        <v>72496</v>
      </c>
      <c r="E19" s="43" t="str">
        <f t="shared" si="0"/>
        <v>-</v>
      </c>
      <c r="F19" s="44">
        <f t="shared" si="1"/>
        <v>1</v>
      </c>
    </row>
    <row r="20" spans="1:6" ht="33" customHeight="1" x14ac:dyDescent="0.2">
      <c r="A20" s="93" t="s">
        <v>10</v>
      </c>
      <c r="B20" s="15" t="s">
        <v>128</v>
      </c>
      <c r="C20" s="36">
        <v>4794</v>
      </c>
      <c r="D20" s="14">
        <f t="shared" si="2"/>
        <v>4794</v>
      </c>
      <c r="E20" s="43" t="str">
        <f t="shared" si="0"/>
        <v>-</v>
      </c>
      <c r="F20" s="44">
        <f t="shared" si="1"/>
        <v>1</v>
      </c>
    </row>
    <row r="21" spans="1:6" ht="46.5" customHeight="1" x14ac:dyDescent="0.2">
      <c r="A21" s="93" t="s">
        <v>11</v>
      </c>
      <c r="B21" s="15" t="s">
        <v>124</v>
      </c>
      <c r="C21" s="36">
        <v>32975</v>
      </c>
      <c r="D21" s="14">
        <f t="shared" si="2"/>
        <v>32975</v>
      </c>
      <c r="E21" s="43" t="str">
        <f t="shared" si="0"/>
        <v>-</v>
      </c>
      <c r="F21" s="44">
        <f t="shared" si="1"/>
        <v>1</v>
      </c>
    </row>
    <row r="22" spans="1:6" ht="33" customHeight="1" x14ac:dyDescent="0.2">
      <c r="A22" s="93" t="s">
        <v>12</v>
      </c>
      <c r="B22" s="15" t="s">
        <v>165</v>
      </c>
      <c r="C22" s="36">
        <v>258995</v>
      </c>
      <c r="D22" s="14">
        <f t="shared" si="2"/>
        <v>258995</v>
      </c>
      <c r="E22" s="43" t="str">
        <f t="shared" si="0"/>
        <v>-</v>
      </c>
      <c r="F22" s="44">
        <f t="shared" si="1"/>
        <v>1</v>
      </c>
    </row>
    <row r="23" spans="1:6" ht="33" customHeight="1" x14ac:dyDescent="0.2">
      <c r="A23" s="93" t="s">
        <v>13</v>
      </c>
      <c r="B23" s="15" t="s">
        <v>149</v>
      </c>
      <c r="C23" s="36">
        <v>149437</v>
      </c>
      <c r="D23" s="14">
        <f t="shared" si="2"/>
        <v>149437</v>
      </c>
      <c r="E23" s="43" t="str">
        <f t="shared" si="0"/>
        <v>-</v>
      </c>
      <c r="F23" s="44">
        <f t="shared" si="1"/>
        <v>1</v>
      </c>
    </row>
    <row r="24" spans="1:6" ht="33" customHeight="1" x14ac:dyDescent="0.2">
      <c r="A24" s="95" t="s">
        <v>14</v>
      </c>
      <c r="B24" s="35" t="s">
        <v>222</v>
      </c>
      <c r="C24" s="36">
        <v>977671</v>
      </c>
      <c r="D24" s="36">
        <f>SUM(D25:D27)</f>
        <v>977671</v>
      </c>
      <c r="E24" s="43" t="str">
        <f t="shared" si="0"/>
        <v>-</v>
      </c>
      <c r="F24" s="44">
        <f t="shared" si="1"/>
        <v>1</v>
      </c>
    </row>
    <row r="25" spans="1:6" ht="37.5" x14ac:dyDescent="0.2">
      <c r="A25" s="94" t="s">
        <v>129</v>
      </c>
      <c r="B25" s="89" t="s">
        <v>151</v>
      </c>
      <c r="C25" s="36">
        <v>975774</v>
      </c>
      <c r="D25" s="14">
        <f>C25</f>
        <v>975774</v>
      </c>
      <c r="E25" s="43" t="str">
        <f t="shared" si="0"/>
        <v>-</v>
      </c>
      <c r="F25" s="44">
        <f t="shared" si="1"/>
        <v>1</v>
      </c>
    </row>
    <row r="26" spans="1:6" ht="31.5" customHeight="1" x14ac:dyDescent="0.2">
      <c r="A26" s="94" t="s">
        <v>150</v>
      </c>
      <c r="B26" s="89" t="s">
        <v>153</v>
      </c>
      <c r="C26" s="36">
        <v>1029</v>
      </c>
      <c r="D26" s="14">
        <f t="shared" si="2"/>
        <v>1029</v>
      </c>
      <c r="E26" s="43" t="str">
        <f t="shared" si="0"/>
        <v>-</v>
      </c>
      <c r="F26" s="44">
        <f t="shared" si="1"/>
        <v>1</v>
      </c>
    </row>
    <row r="27" spans="1:6" ht="37.5" x14ac:dyDescent="0.2">
      <c r="A27" s="94" t="s">
        <v>154</v>
      </c>
      <c r="B27" s="89" t="s">
        <v>152</v>
      </c>
      <c r="C27" s="36">
        <v>868</v>
      </c>
      <c r="D27" s="14">
        <f t="shared" si="2"/>
        <v>868</v>
      </c>
      <c r="E27" s="43" t="str">
        <f t="shared" si="0"/>
        <v>-</v>
      </c>
      <c r="F27" s="44">
        <f t="shared" si="1"/>
        <v>1</v>
      </c>
    </row>
    <row r="28" spans="1:6" ht="33" customHeight="1" x14ac:dyDescent="0.2">
      <c r="A28" s="96" t="s">
        <v>15</v>
      </c>
      <c r="B28" s="16" t="s">
        <v>113</v>
      </c>
      <c r="C28" s="36">
        <v>0</v>
      </c>
      <c r="D28" s="14">
        <f t="shared" si="2"/>
        <v>0</v>
      </c>
      <c r="E28" s="43" t="str">
        <f t="shared" si="0"/>
        <v>-</v>
      </c>
      <c r="F28" s="44" t="str">
        <f t="shared" si="1"/>
        <v>-</v>
      </c>
    </row>
    <row r="29" spans="1:6" ht="33" customHeight="1" x14ac:dyDescent="0.2">
      <c r="A29" s="96" t="s">
        <v>110</v>
      </c>
      <c r="B29" s="17" t="s">
        <v>155</v>
      </c>
      <c r="C29" s="36">
        <v>0</v>
      </c>
      <c r="D29" s="14">
        <f>C29+71000</f>
        <v>71000</v>
      </c>
      <c r="E29" s="43">
        <f t="shared" si="0"/>
        <v>71000</v>
      </c>
      <c r="F29" s="44" t="str">
        <f t="shared" si="1"/>
        <v>-</v>
      </c>
    </row>
    <row r="30" spans="1:6" ht="31.5" customHeight="1" x14ac:dyDescent="0.2">
      <c r="A30" s="94" t="s">
        <v>156</v>
      </c>
      <c r="B30" s="89" t="s">
        <v>167</v>
      </c>
      <c r="C30" s="36">
        <v>0</v>
      </c>
      <c r="D30" s="14">
        <f t="shared" si="2"/>
        <v>0</v>
      </c>
      <c r="E30" s="43" t="str">
        <f t="shared" si="0"/>
        <v>-</v>
      </c>
      <c r="F30" s="44" t="str">
        <f t="shared" si="1"/>
        <v>-</v>
      </c>
    </row>
    <row r="31" spans="1:6" ht="33" customHeight="1" x14ac:dyDescent="0.2">
      <c r="A31" s="96" t="s">
        <v>111</v>
      </c>
      <c r="B31" s="17" t="s">
        <v>114</v>
      </c>
      <c r="C31" s="36">
        <v>0</v>
      </c>
      <c r="D31" s="14">
        <f t="shared" si="2"/>
        <v>0</v>
      </c>
      <c r="E31" s="43" t="str">
        <f t="shared" si="0"/>
        <v>-</v>
      </c>
      <c r="F31" s="44" t="str">
        <f t="shared" si="1"/>
        <v>-</v>
      </c>
    </row>
    <row r="32" spans="1:6" ht="33" customHeight="1" x14ac:dyDescent="0.2">
      <c r="A32" s="96" t="s">
        <v>112</v>
      </c>
      <c r="B32" s="17" t="s">
        <v>166</v>
      </c>
      <c r="C32" s="36">
        <v>38594</v>
      </c>
      <c r="D32" s="14">
        <f t="shared" si="2"/>
        <v>38594</v>
      </c>
      <c r="E32" s="43" t="str">
        <f t="shared" si="0"/>
        <v>-</v>
      </c>
      <c r="F32" s="44">
        <f t="shared" si="1"/>
        <v>1</v>
      </c>
    </row>
    <row r="33" spans="1:6" ht="42.75" customHeight="1" x14ac:dyDescent="0.2">
      <c r="A33" s="96" t="s">
        <v>223</v>
      </c>
      <c r="B33" s="17" t="s">
        <v>224</v>
      </c>
      <c r="C33" s="36">
        <v>0</v>
      </c>
      <c r="D33" s="14">
        <f t="shared" si="2"/>
        <v>0</v>
      </c>
      <c r="E33" s="43" t="str">
        <f>IF(C33=D33,"-",D33-C33)</f>
        <v>-</v>
      </c>
      <c r="F33" s="44" t="str">
        <f>IF(C33=0,"-",D33/C33)</f>
        <v>-</v>
      </c>
    </row>
    <row r="34" spans="1:6" ht="33" customHeight="1" x14ac:dyDescent="0.2">
      <c r="A34" s="96" t="s">
        <v>233</v>
      </c>
      <c r="B34" s="17" t="s">
        <v>234</v>
      </c>
      <c r="C34" s="36">
        <v>11404</v>
      </c>
      <c r="D34" s="14">
        <f t="shared" si="2"/>
        <v>11404</v>
      </c>
      <c r="E34" s="43" t="str">
        <f>IF(C34=D34,"-",D34-C34)</f>
        <v>-</v>
      </c>
      <c r="F34" s="44">
        <f>IF(C34=0,"-",D34/C34)</f>
        <v>1</v>
      </c>
    </row>
    <row r="35" spans="1:6" s="3" customFormat="1" ht="31.5" customHeight="1" x14ac:dyDescent="0.2">
      <c r="A35" s="97" t="s">
        <v>58</v>
      </c>
      <c r="B35" s="18" t="s">
        <v>59</v>
      </c>
      <c r="C35" s="37">
        <v>0</v>
      </c>
      <c r="D35" s="42">
        <f>C35</f>
        <v>0</v>
      </c>
      <c r="E35" s="8" t="str">
        <f t="shared" si="0"/>
        <v>-</v>
      </c>
      <c r="F35" s="45" t="str">
        <f t="shared" si="1"/>
        <v>-</v>
      </c>
    </row>
    <row r="36" spans="1:6" s="3" customFormat="1" ht="31.5" customHeight="1" x14ac:dyDescent="0.2">
      <c r="A36" s="97" t="s">
        <v>57</v>
      </c>
      <c r="B36" s="18" t="s">
        <v>60</v>
      </c>
      <c r="C36" s="37">
        <v>202876</v>
      </c>
      <c r="D36" s="42">
        <f>C36</f>
        <v>202876</v>
      </c>
      <c r="E36" s="8" t="str">
        <f t="shared" si="0"/>
        <v>-</v>
      </c>
      <c r="F36" s="45">
        <f t="shared" si="1"/>
        <v>1</v>
      </c>
    </row>
    <row r="37" spans="1:6" s="3" customFormat="1" ht="40.5" x14ac:dyDescent="0.2">
      <c r="A37" s="97" t="s">
        <v>235</v>
      </c>
      <c r="B37" s="18" t="s">
        <v>236</v>
      </c>
      <c r="C37" s="37">
        <v>66496</v>
      </c>
      <c r="D37" s="42">
        <f>C37</f>
        <v>66496</v>
      </c>
      <c r="E37" s="8" t="str">
        <f t="shared" si="0"/>
        <v>-</v>
      </c>
      <c r="F37" s="45">
        <f t="shared" si="1"/>
        <v>1</v>
      </c>
    </row>
    <row r="38" spans="1:6" s="3" customFormat="1" ht="42.75" customHeight="1" x14ac:dyDescent="0.2">
      <c r="A38" s="97" t="s">
        <v>157</v>
      </c>
      <c r="B38" s="18" t="s">
        <v>158</v>
      </c>
      <c r="C38" s="37">
        <f>C11+C13+C24+C30</f>
        <v>1423451</v>
      </c>
      <c r="D38" s="37">
        <f>D11+D13+D24+D30</f>
        <v>1423451</v>
      </c>
      <c r="E38" s="8" t="str">
        <f t="shared" si="0"/>
        <v>-</v>
      </c>
      <c r="F38" s="45">
        <f t="shared" si="1"/>
        <v>1</v>
      </c>
    </row>
    <row r="39" spans="1:6" ht="30" customHeight="1" x14ac:dyDescent="0.2">
      <c r="A39" s="151" t="s">
        <v>16</v>
      </c>
      <c r="B39" s="152" t="s">
        <v>228</v>
      </c>
      <c r="C39" s="135">
        <f>C40+C41+C42+C50+C52+C58+C59+C57</f>
        <v>66153</v>
      </c>
      <c r="D39" s="135">
        <f>D40+D41+D42+D50+D52+D58+D59+D57</f>
        <v>66153</v>
      </c>
      <c r="E39" s="131" t="str">
        <f t="shared" si="0"/>
        <v>-</v>
      </c>
      <c r="F39" s="153">
        <f t="shared" si="1"/>
        <v>1</v>
      </c>
    </row>
    <row r="40" spans="1:6" ht="28.5" customHeight="1" x14ac:dyDescent="0.2">
      <c r="A40" s="96" t="s">
        <v>17</v>
      </c>
      <c r="B40" s="20" t="s">
        <v>18</v>
      </c>
      <c r="C40" s="36">
        <v>2584</v>
      </c>
      <c r="D40" s="38">
        <f>C40</f>
        <v>2584</v>
      </c>
      <c r="E40" s="43" t="str">
        <f t="shared" si="0"/>
        <v>-</v>
      </c>
      <c r="F40" s="44">
        <f t="shared" si="1"/>
        <v>1</v>
      </c>
    </row>
    <row r="41" spans="1:6" ht="28.5" customHeight="1" x14ac:dyDescent="0.2">
      <c r="A41" s="96" t="s">
        <v>19</v>
      </c>
      <c r="B41" s="20" t="s">
        <v>20</v>
      </c>
      <c r="C41" s="36">
        <v>8307</v>
      </c>
      <c r="D41" s="38">
        <f t="shared" ref="D41:D59" si="3">C41</f>
        <v>8307</v>
      </c>
      <c r="E41" s="43" t="str">
        <f t="shared" si="0"/>
        <v>-</v>
      </c>
      <c r="F41" s="44">
        <f t="shared" si="1"/>
        <v>1</v>
      </c>
    </row>
    <row r="42" spans="1:6" ht="28.5" customHeight="1" x14ac:dyDescent="0.2">
      <c r="A42" s="96" t="s">
        <v>21</v>
      </c>
      <c r="B42" s="21" t="s">
        <v>229</v>
      </c>
      <c r="C42" s="38">
        <f>C43+C45+C46+C47+C48+C49</f>
        <v>607</v>
      </c>
      <c r="D42" s="38">
        <f>D43+D45+D46+D47+D48+D49</f>
        <v>607</v>
      </c>
      <c r="E42" s="43" t="str">
        <f t="shared" si="0"/>
        <v>-</v>
      </c>
      <c r="F42" s="44">
        <f t="shared" si="1"/>
        <v>1</v>
      </c>
    </row>
    <row r="43" spans="1:6" ht="28.5" customHeight="1" x14ac:dyDescent="0.2">
      <c r="A43" s="99" t="s">
        <v>39</v>
      </c>
      <c r="B43" s="90" t="s">
        <v>32</v>
      </c>
      <c r="C43" s="36">
        <v>122</v>
      </c>
      <c r="D43" s="38">
        <f t="shared" si="3"/>
        <v>122</v>
      </c>
      <c r="E43" s="43" t="str">
        <f t="shared" si="0"/>
        <v>-</v>
      </c>
      <c r="F43" s="44">
        <f t="shared" si="1"/>
        <v>1</v>
      </c>
    </row>
    <row r="44" spans="1:6" ht="28.5" customHeight="1" x14ac:dyDescent="0.2">
      <c r="A44" s="99" t="s">
        <v>40</v>
      </c>
      <c r="B44" s="91" t="s">
        <v>33</v>
      </c>
      <c r="C44" s="36">
        <v>122</v>
      </c>
      <c r="D44" s="38">
        <f t="shared" si="3"/>
        <v>122</v>
      </c>
      <c r="E44" s="43" t="str">
        <f t="shared" si="0"/>
        <v>-</v>
      </c>
      <c r="F44" s="44">
        <f t="shared" si="1"/>
        <v>1</v>
      </c>
    </row>
    <row r="45" spans="1:6" ht="28.5" customHeight="1" x14ac:dyDescent="0.2">
      <c r="A45" s="99" t="s">
        <v>41</v>
      </c>
      <c r="B45" s="90" t="s">
        <v>34</v>
      </c>
      <c r="C45" s="36">
        <v>10</v>
      </c>
      <c r="D45" s="38">
        <f t="shared" si="3"/>
        <v>10</v>
      </c>
      <c r="E45" s="43" t="str">
        <f t="shared" si="0"/>
        <v>-</v>
      </c>
      <c r="F45" s="44">
        <f t="shared" si="1"/>
        <v>1</v>
      </c>
    </row>
    <row r="46" spans="1:6" ht="28.5" customHeight="1" x14ac:dyDescent="0.2">
      <c r="A46" s="99" t="s">
        <v>42</v>
      </c>
      <c r="B46" s="90" t="s">
        <v>35</v>
      </c>
      <c r="C46" s="36">
        <v>4</v>
      </c>
      <c r="D46" s="38">
        <f t="shared" si="3"/>
        <v>4</v>
      </c>
      <c r="E46" s="43" t="str">
        <f t="shared" si="0"/>
        <v>-</v>
      </c>
      <c r="F46" s="44">
        <f t="shared" si="1"/>
        <v>1</v>
      </c>
    </row>
    <row r="47" spans="1:6" ht="28.5" customHeight="1" x14ac:dyDescent="0.2">
      <c r="A47" s="99" t="s">
        <v>43</v>
      </c>
      <c r="B47" s="90" t="s">
        <v>36</v>
      </c>
      <c r="C47" s="36">
        <v>0</v>
      </c>
      <c r="D47" s="38">
        <f t="shared" si="3"/>
        <v>0</v>
      </c>
      <c r="E47" s="43" t="str">
        <f t="shared" si="0"/>
        <v>-</v>
      </c>
      <c r="F47" s="44" t="str">
        <f t="shared" si="1"/>
        <v>-</v>
      </c>
    </row>
    <row r="48" spans="1:6" ht="28.5" customHeight="1" x14ac:dyDescent="0.2">
      <c r="A48" s="99" t="s">
        <v>44</v>
      </c>
      <c r="B48" s="90" t="s">
        <v>37</v>
      </c>
      <c r="C48" s="36">
        <v>450</v>
      </c>
      <c r="D48" s="38">
        <f t="shared" si="3"/>
        <v>450</v>
      </c>
      <c r="E48" s="43" t="str">
        <f t="shared" si="0"/>
        <v>-</v>
      </c>
      <c r="F48" s="44">
        <f t="shared" si="1"/>
        <v>1</v>
      </c>
    </row>
    <row r="49" spans="1:6" ht="28.5" customHeight="1" x14ac:dyDescent="0.2">
      <c r="A49" s="99" t="s">
        <v>45</v>
      </c>
      <c r="B49" s="90" t="s">
        <v>38</v>
      </c>
      <c r="C49" s="36">
        <v>21</v>
      </c>
      <c r="D49" s="38">
        <f t="shared" si="3"/>
        <v>21</v>
      </c>
      <c r="E49" s="43" t="str">
        <f t="shared" si="0"/>
        <v>-</v>
      </c>
      <c r="F49" s="44">
        <f t="shared" si="1"/>
        <v>1</v>
      </c>
    </row>
    <row r="50" spans="1:6" ht="28.5" customHeight="1" x14ac:dyDescent="0.2">
      <c r="A50" s="96" t="s">
        <v>22</v>
      </c>
      <c r="B50" s="20" t="s">
        <v>159</v>
      </c>
      <c r="C50" s="36">
        <v>39940</v>
      </c>
      <c r="D50" s="38">
        <f t="shared" si="3"/>
        <v>39940</v>
      </c>
      <c r="E50" s="43" t="str">
        <f t="shared" si="0"/>
        <v>-</v>
      </c>
      <c r="F50" s="44">
        <f t="shared" si="1"/>
        <v>1</v>
      </c>
    </row>
    <row r="51" spans="1:6" ht="28.5" customHeight="1" x14ac:dyDescent="0.2">
      <c r="A51" s="99" t="s">
        <v>160</v>
      </c>
      <c r="B51" s="90" t="s">
        <v>161</v>
      </c>
      <c r="C51" s="36">
        <v>250</v>
      </c>
      <c r="D51" s="38">
        <f t="shared" si="3"/>
        <v>250</v>
      </c>
      <c r="E51" s="43" t="str">
        <f t="shared" si="0"/>
        <v>-</v>
      </c>
      <c r="F51" s="44">
        <f t="shared" si="1"/>
        <v>1</v>
      </c>
    </row>
    <row r="52" spans="1:6" ht="28.5" customHeight="1" x14ac:dyDescent="0.2">
      <c r="A52" s="96" t="s">
        <v>23</v>
      </c>
      <c r="B52" s="21" t="s">
        <v>227</v>
      </c>
      <c r="C52" s="34">
        <f>C53+C54+C55+C56</f>
        <v>8969</v>
      </c>
      <c r="D52" s="34">
        <f>D53+D54+D55+D56</f>
        <v>8969</v>
      </c>
      <c r="E52" s="43" t="str">
        <f t="shared" si="0"/>
        <v>-</v>
      </c>
      <c r="F52" s="44">
        <f t="shared" si="1"/>
        <v>1</v>
      </c>
    </row>
    <row r="53" spans="1:6" ht="28.5" customHeight="1" x14ac:dyDescent="0.2">
      <c r="A53" s="99" t="s">
        <v>50</v>
      </c>
      <c r="B53" s="90" t="s">
        <v>46</v>
      </c>
      <c r="C53" s="36">
        <v>6858</v>
      </c>
      <c r="D53" s="38">
        <f t="shared" si="3"/>
        <v>6858</v>
      </c>
      <c r="E53" s="43" t="str">
        <f t="shared" si="0"/>
        <v>-</v>
      </c>
      <c r="F53" s="44">
        <f t="shared" si="1"/>
        <v>1</v>
      </c>
    </row>
    <row r="54" spans="1:6" ht="28.5" customHeight="1" x14ac:dyDescent="0.2">
      <c r="A54" s="99" t="s">
        <v>51</v>
      </c>
      <c r="B54" s="90" t="s">
        <v>47</v>
      </c>
      <c r="C54" s="36">
        <v>979</v>
      </c>
      <c r="D54" s="38">
        <f t="shared" si="3"/>
        <v>979</v>
      </c>
      <c r="E54" s="43" t="str">
        <f t="shared" si="0"/>
        <v>-</v>
      </c>
      <c r="F54" s="44">
        <f t="shared" si="1"/>
        <v>1</v>
      </c>
    </row>
    <row r="55" spans="1:6" ht="28.5" customHeight="1" x14ac:dyDescent="0.2">
      <c r="A55" s="99" t="s">
        <v>52</v>
      </c>
      <c r="B55" s="90" t="s">
        <v>48</v>
      </c>
      <c r="C55" s="36">
        <v>0</v>
      </c>
      <c r="D55" s="38">
        <f t="shared" si="3"/>
        <v>0</v>
      </c>
      <c r="E55" s="43" t="str">
        <f t="shared" si="0"/>
        <v>-</v>
      </c>
      <c r="F55" s="44" t="str">
        <f t="shared" si="1"/>
        <v>-</v>
      </c>
    </row>
    <row r="56" spans="1:6" ht="28.5" customHeight="1" x14ac:dyDescent="0.2">
      <c r="A56" s="99" t="s">
        <v>53</v>
      </c>
      <c r="B56" s="90" t="s">
        <v>49</v>
      </c>
      <c r="C56" s="36">
        <v>1132</v>
      </c>
      <c r="D56" s="38">
        <f t="shared" si="3"/>
        <v>1132</v>
      </c>
      <c r="E56" s="43" t="str">
        <f t="shared" si="0"/>
        <v>-</v>
      </c>
      <c r="F56" s="44">
        <f t="shared" si="1"/>
        <v>1</v>
      </c>
    </row>
    <row r="57" spans="1:6" ht="28.5" customHeight="1" x14ac:dyDescent="0.2">
      <c r="A57" s="96" t="s">
        <v>24</v>
      </c>
      <c r="B57" s="20" t="s">
        <v>25</v>
      </c>
      <c r="C57" s="36">
        <v>0</v>
      </c>
      <c r="D57" s="38">
        <f t="shared" si="3"/>
        <v>0</v>
      </c>
      <c r="E57" s="43" t="str">
        <f t="shared" si="0"/>
        <v>-</v>
      </c>
      <c r="F57" s="44" t="str">
        <f t="shared" si="1"/>
        <v>-</v>
      </c>
    </row>
    <row r="58" spans="1:6" ht="28.5" customHeight="1" x14ac:dyDescent="0.2">
      <c r="A58" s="96" t="s">
        <v>26</v>
      </c>
      <c r="B58" s="20" t="s">
        <v>162</v>
      </c>
      <c r="C58" s="36">
        <v>5444</v>
      </c>
      <c r="D58" s="38">
        <f t="shared" si="3"/>
        <v>5444</v>
      </c>
      <c r="E58" s="43" t="str">
        <f t="shared" si="0"/>
        <v>-</v>
      </c>
      <c r="F58" s="46">
        <f t="shared" si="1"/>
        <v>1</v>
      </c>
    </row>
    <row r="59" spans="1:6" ht="28.5" customHeight="1" x14ac:dyDescent="0.2">
      <c r="A59" s="96" t="s">
        <v>27</v>
      </c>
      <c r="B59" s="20" t="s">
        <v>28</v>
      </c>
      <c r="C59" s="36">
        <v>302</v>
      </c>
      <c r="D59" s="38">
        <f t="shared" si="3"/>
        <v>302</v>
      </c>
      <c r="E59" s="43" t="str">
        <f t="shared" si="0"/>
        <v>-</v>
      </c>
      <c r="F59" s="44">
        <f t="shared" si="1"/>
        <v>1</v>
      </c>
    </row>
    <row r="60" spans="1:6" ht="30" customHeight="1" x14ac:dyDescent="0.2">
      <c r="A60" s="142" t="s">
        <v>135</v>
      </c>
      <c r="B60" s="143" t="s">
        <v>163</v>
      </c>
      <c r="C60" s="154">
        <f>C61+C62+C63+C64</f>
        <v>2968</v>
      </c>
      <c r="D60" s="154">
        <f>D61+D62+D63+D64</f>
        <v>2968</v>
      </c>
      <c r="E60" s="131" t="str">
        <f t="shared" si="0"/>
        <v>-</v>
      </c>
      <c r="F60" s="155">
        <f t="shared" si="1"/>
        <v>1</v>
      </c>
    </row>
    <row r="61" spans="1:6" ht="42" customHeight="1" x14ac:dyDescent="0.2">
      <c r="A61" s="96" t="s">
        <v>101</v>
      </c>
      <c r="B61" s="20" t="s">
        <v>115</v>
      </c>
      <c r="C61" s="36">
        <v>280</v>
      </c>
      <c r="D61" s="38">
        <f>C61</f>
        <v>280</v>
      </c>
      <c r="E61" s="34" t="str">
        <f t="shared" si="0"/>
        <v>-</v>
      </c>
      <c r="F61" s="44">
        <f t="shared" si="1"/>
        <v>1</v>
      </c>
    </row>
    <row r="62" spans="1:6" ht="31.5" customHeight="1" x14ac:dyDescent="0.2">
      <c r="A62" s="96" t="s">
        <v>30</v>
      </c>
      <c r="B62" s="20" t="s">
        <v>55</v>
      </c>
      <c r="C62" s="36">
        <v>1828</v>
      </c>
      <c r="D62" s="38">
        <f>C62</f>
        <v>1828</v>
      </c>
      <c r="E62" s="34" t="str">
        <f t="shared" si="0"/>
        <v>-</v>
      </c>
      <c r="F62" s="44">
        <f t="shared" si="1"/>
        <v>1</v>
      </c>
    </row>
    <row r="63" spans="1:6" ht="31.5" customHeight="1" x14ac:dyDescent="0.2">
      <c r="A63" s="96" t="s">
        <v>31</v>
      </c>
      <c r="B63" s="20" t="s">
        <v>103</v>
      </c>
      <c r="C63" s="36">
        <v>0</v>
      </c>
      <c r="D63" s="38">
        <f>C63</f>
        <v>0</v>
      </c>
      <c r="E63" s="34" t="str">
        <f t="shared" si="0"/>
        <v>-</v>
      </c>
      <c r="F63" s="44" t="str">
        <f t="shared" si="1"/>
        <v>-</v>
      </c>
    </row>
    <row r="64" spans="1:6" ht="31.5" customHeight="1" x14ac:dyDescent="0.2">
      <c r="A64" s="96" t="s">
        <v>102</v>
      </c>
      <c r="B64" s="20" t="s">
        <v>104</v>
      </c>
      <c r="C64" s="36">
        <v>860</v>
      </c>
      <c r="D64" s="38">
        <f>C64</f>
        <v>860</v>
      </c>
      <c r="E64" s="34" t="str">
        <f t="shared" si="0"/>
        <v>-</v>
      </c>
      <c r="F64" s="44">
        <f t="shared" si="1"/>
        <v>1</v>
      </c>
    </row>
    <row r="65" spans="1:6" ht="32.25" customHeight="1" x14ac:dyDescent="0.2">
      <c r="A65" s="142" t="s">
        <v>137</v>
      </c>
      <c r="B65" s="143" t="s">
        <v>116</v>
      </c>
      <c r="C65" s="154">
        <v>1355</v>
      </c>
      <c r="D65" s="154">
        <f>C65</f>
        <v>1355</v>
      </c>
      <c r="E65" s="131" t="str">
        <f t="shared" si="0"/>
        <v>-</v>
      </c>
      <c r="F65" s="155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ySplit="6" topLeftCell="A7" activePane="bottomLeft" state="frozen"/>
      <selection activeCell="A2" sqref="A2:B2"/>
      <selection pane="bottomLeft" activeCell="A2" sqref="A2:B2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5.7109375" style="2" customWidth="1"/>
    <col min="4" max="4" width="26.85546875" style="2" customWidth="1"/>
    <col min="5" max="5" width="25.140625" style="2" customWidth="1"/>
    <col min="6" max="6" width="20.7109375" style="2" customWidth="1"/>
    <col min="7" max="16384" width="9.140625" style="2"/>
  </cols>
  <sheetData>
    <row r="1" spans="1:6" s="24" customFormat="1" ht="46.5" customHeight="1" x14ac:dyDescent="0.2">
      <c r="A1" s="160" t="str">
        <f>NFZ!A1</f>
        <v>ZMIANA PLANU FINANSOWEGO NARODOWEGO FUNDUSZU ZDROWIA NA 2017 ROK Z DNIA 18 LIPCA 2017 R.</v>
      </c>
      <c r="B1" s="160"/>
      <c r="C1" s="160"/>
      <c r="D1" s="160"/>
      <c r="E1" s="160"/>
      <c r="F1" s="160"/>
    </row>
    <row r="2" spans="1:6" s="26" customFormat="1" ht="33" customHeight="1" x14ac:dyDescent="0.2">
      <c r="A2" s="115" t="s">
        <v>73</v>
      </c>
      <c r="B2" s="115"/>
      <c r="C2" s="116"/>
    </row>
    <row r="3" spans="1:6" ht="33" customHeight="1" x14ac:dyDescent="0.25">
      <c r="A3" s="5"/>
      <c r="B3" s="6"/>
      <c r="C3" s="40"/>
      <c r="D3" s="40"/>
      <c r="E3" s="40" t="s">
        <v>141</v>
      </c>
      <c r="F3" s="7"/>
    </row>
    <row r="4" spans="1:6" s="117" customFormat="1" ht="65.099999999999994" customHeight="1" x14ac:dyDescent="0.2">
      <c r="A4" s="124" t="s">
        <v>118</v>
      </c>
      <c r="B4" s="124" t="s">
        <v>54</v>
      </c>
      <c r="C4" s="125" t="s">
        <v>230</v>
      </c>
      <c r="D4" s="125" t="s">
        <v>171</v>
      </c>
      <c r="E4" s="126" t="s">
        <v>172</v>
      </c>
      <c r="F4" s="126" t="s">
        <v>173</v>
      </c>
    </row>
    <row r="5" spans="1:6" s="118" customFormat="1" ht="14.25" x14ac:dyDescent="0.2">
      <c r="A5" s="127">
        <v>1</v>
      </c>
      <c r="B5" s="128">
        <v>2</v>
      </c>
      <c r="C5" s="127">
        <v>3</v>
      </c>
      <c r="D5" s="128">
        <v>4</v>
      </c>
      <c r="E5" s="127">
        <v>5</v>
      </c>
      <c r="F5" s="128">
        <v>6</v>
      </c>
    </row>
    <row r="6" spans="1:6" ht="30" customHeight="1" x14ac:dyDescent="0.2">
      <c r="A6" s="101" t="s">
        <v>0</v>
      </c>
      <c r="B6" s="73" t="s">
        <v>232</v>
      </c>
      <c r="C6" s="150">
        <f>C7+C8+C9+C14+C15+C16+C17+C18+C19+C20+C21+C22+C23+C24+C28+C29+C31+C32+C33+C34</f>
        <v>2406611</v>
      </c>
      <c r="D6" s="150">
        <f>D7+D8+D9+D14+D15+D16+D17+D18+D19+D20+D21+D22+D23+D24+D28+D29+D31+D32+D33+D34</f>
        <v>2454804</v>
      </c>
      <c r="E6" s="131">
        <f>IF(C6=D6,"-",D6-C6)</f>
        <v>48193</v>
      </c>
      <c r="F6" s="148">
        <f>IF(C6=0,"-",D6/C6)</f>
        <v>1.02</v>
      </c>
    </row>
    <row r="7" spans="1:6" ht="33" customHeight="1" x14ac:dyDescent="0.2">
      <c r="A7" s="93" t="s">
        <v>1</v>
      </c>
      <c r="B7" s="15" t="s">
        <v>119</v>
      </c>
      <c r="C7" s="36">
        <v>307973</v>
      </c>
      <c r="D7" s="14">
        <f>C7+8000</f>
        <v>315973</v>
      </c>
      <c r="E7" s="43">
        <f t="shared" ref="E7:E65" si="0">IF(C7=D7,"-",D7-C7)</f>
        <v>8000</v>
      </c>
      <c r="F7" s="44">
        <f t="shared" ref="F7:F65" si="1">IF(C7=0,"-",D7/C7)</f>
        <v>1.026</v>
      </c>
    </row>
    <row r="8" spans="1:6" ht="33" customHeight="1" x14ac:dyDescent="0.2">
      <c r="A8" s="93" t="s">
        <v>2</v>
      </c>
      <c r="B8" s="15" t="s">
        <v>120</v>
      </c>
      <c r="C8" s="36">
        <v>173659</v>
      </c>
      <c r="D8" s="14">
        <f>C8</f>
        <v>173659</v>
      </c>
      <c r="E8" s="43" t="str">
        <f t="shared" si="0"/>
        <v>-</v>
      </c>
      <c r="F8" s="44">
        <f t="shared" si="1"/>
        <v>1</v>
      </c>
    </row>
    <row r="9" spans="1:6" ht="33" customHeight="1" x14ac:dyDescent="0.2">
      <c r="A9" s="93" t="s">
        <v>3</v>
      </c>
      <c r="B9" s="15" t="s">
        <v>117</v>
      </c>
      <c r="C9" s="36">
        <v>1180653</v>
      </c>
      <c r="D9" s="14">
        <f>C9+28643+11550-11550</f>
        <v>1209296</v>
      </c>
      <c r="E9" s="43">
        <f t="shared" si="0"/>
        <v>28643</v>
      </c>
      <c r="F9" s="44">
        <f t="shared" si="1"/>
        <v>1.0243</v>
      </c>
    </row>
    <row r="10" spans="1:6" ht="31.5" customHeight="1" x14ac:dyDescent="0.2">
      <c r="A10" s="94" t="s">
        <v>56</v>
      </c>
      <c r="B10" s="89" t="s">
        <v>142</v>
      </c>
      <c r="C10" s="36">
        <v>108023</v>
      </c>
      <c r="D10" s="14">
        <f t="shared" ref="D10:D34" si="2">C10</f>
        <v>108023</v>
      </c>
      <c r="E10" s="43" t="str">
        <f t="shared" si="0"/>
        <v>-</v>
      </c>
      <c r="F10" s="44">
        <f t="shared" si="1"/>
        <v>1</v>
      </c>
    </row>
    <row r="11" spans="1:6" ht="31.5" customHeight="1" x14ac:dyDescent="0.2">
      <c r="A11" s="94" t="s">
        <v>143</v>
      </c>
      <c r="B11" s="89" t="s">
        <v>146</v>
      </c>
      <c r="C11" s="36">
        <v>93736</v>
      </c>
      <c r="D11" s="14">
        <f t="shared" si="2"/>
        <v>93736</v>
      </c>
      <c r="E11" s="43" t="str">
        <f t="shared" si="0"/>
        <v>-</v>
      </c>
      <c r="F11" s="44">
        <f t="shared" si="1"/>
        <v>1</v>
      </c>
    </row>
    <row r="12" spans="1:6" ht="31.5" customHeight="1" x14ac:dyDescent="0.2">
      <c r="A12" s="94" t="s">
        <v>144</v>
      </c>
      <c r="B12" s="89" t="s">
        <v>147</v>
      </c>
      <c r="C12" s="36">
        <v>52448</v>
      </c>
      <c r="D12" s="14">
        <f t="shared" si="2"/>
        <v>52448</v>
      </c>
      <c r="E12" s="43" t="str">
        <f t="shared" si="0"/>
        <v>-</v>
      </c>
      <c r="F12" s="44">
        <f t="shared" si="1"/>
        <v>1</v>
      </c>
    </row>
    <row r="13" spans="1:6" ht="31.5" customHeight="1" x14ac:dyDescent="0.2">
      <c r="A13" s="94" t="s">
        <v>145</v>
      </c>
      <c r="B13" s="89" t="s">
        <v>148</v>
      </c>
      <c r="C13" s="36">
        <v>23921</v>
      </c>
      <c r="D13" s="14">
        <f t="shared" si="2"/>
        <v>23921</v>
      </c>
      <c r="E13" s="43" t="str">
        <f t="shared" si="0"/>
        <v>-</v>
      </c>
      <c r="F13" s="44">
        <f t="shared" si="1"/>
        <v>1</v>
      </c>
    </row>
    <row r="14" spans="1:6" ht="33" customHeight="1" x14ac:dyDescent="0.2">
      <c r="A14" s="93" t="s">
        <v>4</v>
      </c>
      <c r="B14" s="15" t="s">
        <v>125</v>
      </c>
      <c r="C14" s="36">
        <v>84246</v>
      </c>
      <c r="D14" s="14">
        <f t="shared" si="2"/>
        <v>84246</v>
      </c>
      <c r="E14" s="43" t="str">
        <f t="shared" si="0"/>
        <v>-</v>
      </c>
      <c r="F14" s="44">
        <f t="shared" si="1"/>
        <v>1</v>
      </c>
    </row>
    <row r="15" spans="1:6" ht="33" customHeight="1" x14ac:dyDescent="0.2">
      <c r="A15" s="93" t="s">
        <v>5</v>
      </c>
      <c r="B15" s="15" t="s">
        <v>121</v>
      </c>
      <c r="C15" s="36">
        <v>78656</v>
      </c>
      <c r="D15" s="14">
        <f t="shared" si="2"/>
        <v>78656</v>
      </c>
      <c r="E15" s="43" t="str">
        <f t="shared" si="0"/>
        <v>-</v>
      </c>
      <c r="F15" s="44">
        <f t="shared" si="1"/>
        <v>1</v>
      </c>
    </row>
    <row r="16" spans="1:6" ht="33" customHeight="1" x14ac:dyDescent="0.2">
      <c r="A16" s="93" t="s">
        <v>6</v>
      </c>
      <c r="B16" s="15" t="s">
        <v>127</v>
      </c>
      <c r="C16" s="36">
        <v>55311</v>
      </c>
      <c r="D16" s="14">
        <f t="shared" si="2"/>
        <v>55311</v>
      </c>
      <c r="E16" s="43" t="str">
        <f t="shared" si="0"/>
        <v>-</v>
      </c>
      <c r="F16" s="44">
        <f t="shared" si="1"/>
        <v>1</v>
      </c>
    </row>
    <row r="17" spans="1:6" ht="33" customHeight="1" x14ac:dyDescent="0.2">
      <c r="A17" s="93" t="s">
        <v>7</v>
      </c>
      <c r="B17" s="15" t="s">
        <v>126</v>
      </c>
      <c r="C17" s="36">
        <v>26578</v>
      </c>
      <c r="D17" s="14">
        <f t="shared" si="2"/>
        <v>26578</v>
      </c>
      <c r="E17" s="43" t="str">
        <f t="shared" si="0"/>
        <v>-</v>
      </c>
      <c r="F17" s="44">
        <f t="shared" si="1"/>
        <v>1</v>
      </c>
    </row>
    <row r="18" spans="1:6" ht="33" customHeight="1" x14ac:dyDescent="0.2">
      <c r="A18" s="93" t="s">
        <v>8</v>
      </c>
      <c r="B18" s="15" t="s">
        <v>122</v>
      </c>
      <c r="C18" s="36">
        <v>67365</v>
      </c>
      <c r="D18" s="14">
        <f t="shared" si="2"/>
        <v>67365</v>
      </c>
      <c r="E18" s="43" t="str">
        <f t="shared" si="0"/>
        <v>-</v>
      </c>
      <c r="F18" s="44">
        <f t="shared" si="1"/>
        <v>1</v>
      </c>
    </row>
    <row r="19" spans="1:6" ht="33" customHeight="1" x14ac:dyDescent="0.2">
      <c r="A19" s="93" t="s">
        <v>9</v>
      </c>
      <c r="B19" s="15" t="s">
        <v>123</v>
      </c>
      <c r="C19" s="36">
        <v>26084</v>
      </c>
      <c r="D19" s="14">
        <f t="shared" si="2"/>
        <v>26084</v>
      </c>
      <c r="E19" s="43" t="str">
        <f t="shared" si="0"/>
        <v>-</v>
      </c>
      <c r="F19" s="44">
        <f t="shared" si="1"/>
        <v>1</v>
      </c>
    </row>
    <row r="20" spans="1:6" ht="33" customHeight="1" x14ac:dyDescent="0.2">
      <c r="A20" s="93" t="s">
        <v>10</v>
      </c>
      <c r="B20" s="15" t="s">
        <v>128</v>
      </c>
      <c r="C20" s="36">
        <v>1650</v>
      </c>
      <c r="D20" s="14">
        <f t="shared" si="2"/>
        <v>1650</v>
      </c>
      <c r="E20" s="43" t="str">
        <f t="shared" si="0"/>
        <v>-</v>
      </c>
      <c r="F20" s="44">
        <f t="shared" si="1"/>
        <v>1</v>
      </c>
    </row>
    <row r="21" spans="1:6" ht="46.5" customHeight="1" x14ac:dyDescent="0.2">
      <c r="A21" s="93" t="s">
        <v>11</v>
      </c>
      <c r="B21" s="15" t="s">
        <v>124</v>
      </c>
      <c r="C21" s="36">
        <v>6058</v>
      </c>
      <c r="D21" s="14">
        <f t="shared" si="2"/>
        <v>6058</v>
      </c>
      <c r="E21" s="43" t="str">
        <f t="shared" si="0"/>
        <v>-</v>
      </c>
      <c r="F21" s="44">
        <f t="shared" si="1"/>
        <v>1</v>
      </c>
    </row>
    <row r="22" spans="1:6" ht="33" customHeight="1" x14ac:dyDescent="0.2">
      <c r="A22" s="93" t="s">
        <v>12</v>
      </c>
      <c r="B22" s="15" t="s">
        <v>165</v>
      </c>
      <c r="C22" s="36">
        <v>57885</v>
      </c>
      <c r="D22" s="14">
        <f t="shared" si="2"/>
        <v>57885</v>
      </c>
      <c r="E22" s="43" t="str">
        <f t="shared" si="0"/>
        <v>-</v>
      </c>
      <c r="F22" s="44">
        <f t="shared" si="1"/>
        <v>1</v>
      </c>
    </row>
    <row r="23" spans="1:6" ht="33" customHeight="1" x14ac:dyDescent="0.2">
      <c r="A23" s="93" t="s">
        <v>13</v>
      </c>
      <c r="B23" s="15" t="s">
        <v>149</v>
      </c>
      <c r="C23" s="36">
        <v>32540</v>
      </c>
      <c r="D23" s="14">
        <f t="shared" si="2"/>
        <v>32540</v>
      </c>
      <c r="E23" s="43" t="str">
        <f t="shared" si="0"/>
        <v>-</v>
      </c>
      <c r="F23" s="44">
        <f t="shared" si="1"/>
        <v>1</v>
      </c>
    </row>
    <row r="24" spans="1:6" ht="33" customHeight="1" x14ac:dyDescent="0.2">
      <c r="A24" s="95" t="s">
        <v>14</v>
      </c>
      <c r="B24" s="35" t="s">
        <v>222</v>
      </c>
      <c r="C24" s="36">
        <v>265911</v>
      </c>
      <c r="D24" s="36">
        <f>SUM(D25:D27)</f>
        <v>265911</v>
      </c>
      <c r="E24" s="43" t="str">
        <f t="shared" si="0"/>
        <v>-</v>
      </c>
      <c r="F24" s="44">
        <f t="shared" si="1"/>
        <v>1</v>
      </c>
    </row>
    <row r="25" spans="1:6" ht="37.5" x14ac:dyDescent="0.2">
      <c r="A25" s="94" t="s">
        <v>129</v>
      </c>
      <c r="B25" s="89" t="s">
        <v>151</v>
      </c>
      <c r="C25" s="36">
        <v>265121</v>
      </c>
      <c r="D25" s="14">
        <f t="shared" si="2"/>
        <v>265121</v>
      </c>
      <c r="E25" s="43" t="str">
        <f t="shared" si="0"/>
        <v>-</v>
      </c>
      <c r="F25" s="44">
        <f t="shared" si="1"/>
        <v>1</v>
      </c>
    </row>
    <row r="26" spans="1:6" ht="31.5" customHeight="1" x14ac:dyDescent="0.2">
      <c r="A26" s="94" t="s">
        <v>150</v>
      </c>
      <c r="B26" s="89" t="s">
        <v>153</v>
      </c>
      <c r="C26" s="36">
        <v>590</v>
      </c>
      <c r="D26" s="14">
        <f t="shared" si="2"/>
        <v>590</v>
      </c>
      <c r="E26" s="43" t="str">
        <f t="shared" si="0"/>
        <v>-</v>
      </c>
      <c r="F26" s="44">
        <f t="shared" si="1"/>
        <v>1</v>
      </c>
    </row>
    <row r="27" spans="1:6" ht="37.5" x14ac:dyDescent="0.2">
      <c r="A27" s="94" t="s">
        <v>154</v>
      </c>
      <c r="B27" s="89" t="s">
        <v>152</v>
      </c>
      <c r="C27" s="36">
        <v>200</v>
      </c>
      <c r="D27" s="14">
        <f t="shared" si="2"/>
        <v>200</v>
      </c>
      <c r="E27" s="43" t="str">
        <f t="shared" si="0"/>
        <v>-</v>
      </c>
      <c r="F27" s="44">
        <f t="shared" si="1"/>
        <v>1</v>
      </c>
    </row>
    <row r="28" spans="1:6" ht="33" customHeight="1" x14ac:dyDescent="0.2">
      <c r="A28" s="96" t="s">
        <v>15</v>
      </c>
      <c r="B28" s="16" t="s">
        <v>113</v>
      </c>
      <c r="C28" s="36">
        <v>0</v>
      </c>
      <c r="D28" s="14">
        <f t="shared" si="2"/>
        <v>0</v>
      </c>
      <c r="E28" s="43" t="str">
        <f t="shared" si="0"/>
        <v>-</v>
      </c>
      <c r="F28" s="44" t="str">
        <f t="shared" si="1"/>
        <v>-</v>
      </c>
    </row>
    <row r="29" spans="1:6" ht="33" customHeight="1" x14ac:dyDescent="0.2">
      <c r="A29" s="96" t="s">
        <v>110</v>
      </c>
      <c r="B29" s="17" t="s">
        <v>155</v>
      </c>
      <c r="C29" s="36">
        <v>0</v>
      </c>
      <c r="D29" s="14">
        <f>C29+11550</f>
        <v>11550</v>
      </c>
      <c r="E29" s="43">
        <f t="shared" si="0"/>
        <v>11550</v>
      </c>
      <c r="F29" s="44" t="str">
        <f t="shared" si="1"/>
        <v>-</v>
      </c>
    </row>
    <row r="30" spans="1:6" ht="31.5" customHeight="1" x14ac:dyDescent="0.2">
      <c r="A30" s="94" t="s">
        <v>156</v>
      </c>
      <c r="B30" s="89" t="s">
        <v>167</v>
      </c>
      <c r="C30" s="36">
        <v>0</v>
      </c>
      <c r="D30" s="14">
        <f t="shared" si="2"/>
        <v>0</v>
      </c>
      <c r="E30" s="43" t="str">
        <f t="shared" si="0"/>
        <v>-</v>
      </c>
      <c r="F30" s="44" t="str">
        <f t="shared" si="1"/>
        <v>-</v>
      </c>
    </row>
    <row r="31" spans="1:6" ht="33" customHeight="1" x14ac:dyDescent="0.2">
      <c r="A31" s="96" t="s">
        <v>111</v>
      </c>
      <c r="B31" s="17" t="s">
        <v>114</v>
      </c>
      <c r="C31" s="36">
        <v>0</v>
      </c>
      <c r="D31" s="14">
        <f t="shared" si="2"/>
        <v>0</v>
      </c>
      <c r="E31" s="43" t="str">
        <f t="shared" si="0"/>
        <v>-</v>
      </c>
      <c r="F31" s="44" t="str">
        <f t="shared" si="1"/>
        <v>-</v>
      </c>
    </row>
    <row r="32" spans="1:6" ht="33" customHeight="1" x14ac:dyDescent="0.2">
      <c r="A32" s="96" t="s">
        <v>112</v>
      </c>
      <c r="B32" s="17" t="s">
        <v>166</v>
      </c>
      <c r="C32" s="36">
        <v>41513</v>
      </c>
      <c r="D32" s="14">
        <f t="shared" si="2"/>
        <v>41513</v>
      </c>
      <c r="E32" s="43" t="str">
        <f t="shared" si="0"/>
        <v>-</v>
      </c>
      <c r="F32" s="44">
        <f t="shared" si="1"/>
        <v>1</v>
      </c>
    </row>
    <row r="33" spans="1:6" ht="42.75" customHeight="1" x14ac:dyDescent="0.2">
      <c r="A33" s="96" t="s">
        <v>223</v>
      </c>
      <c r="B33" s="17" t="s">
        <v>224</v>
      </c>
      <c r="C33" s="36">
        <v>0</v>
      </c>
      <c r="D33" s="14">
        <f t="shared" si="2"/>
        <v>0</v>
      </c>
      <c r="E33" s="43" t="str">
        <f>IF(C33=D33,"-",D33-C33)</f>
        <v>-</v>
      </c>
      <c r="F33" s="44" t="str">
        <f>IF(C33=0,"-",D33/C33)</f>
        <v>-</v>
      </c>
    </row>
    <row r="34" spans="1:6" ht="33" customHeight="1" x14ac:dyDescent="0.2">
      <c r="A34" s="96" t="s">
        <v>233</v>
      </c>
      <c r="B34" s="17" t="s">
        <v>234</v>
      </c>
      <c r="C34" s="36">
        <v>529</v>
      </c>
      <c r="D34" s="14">
        <f t="shared" si="2"/>
        <v>529</v>
      </c>
      <c r="E34" s="43" t="str">
        <f>IF(C34=D34,"-",D34-C34)</f>
        <v>-</v>
      </c>
      <c r="F34" s="44">
        <f>IF(C34=0,"-",D34/C34)</f>
        <v>1</v>
      </c>
    </row>
    <row r="35" spans="1:6" s="3" customFormat="1" ht="31.5" customHeight="1" x14ac:dyDescent="0.2">
      <c r="A35" s="97" t="s">
        <v>58</v>
      </c>
      <c r="B35" s="18" t="s">
        <v>59</v>
      </c>
      <c r="C35" s="37">
        <v>0</v>
      </c>
      <c r="D35" s="42">
        <f>C35</f>
        <v>0</v>
      </c>
      <c r="E35" s="8" t="str">
        <f t="shared" si="0"/>
        <v>-</v>
      </c>
      <c r="F35" s="45" t="str">
        <f t="shared" si="1"/>
        <v>-</v>
      </c>
    </row>
    <row r="36" spans="1:6" s="3" customFormat="1" ht="31.5" customHeight="1" x14ac:dyDescent="0.2">
      <c r="A36" s="97" t="s">
        <v>57</v>
      </c>
      <c r="B36" s="18" t="s">
        <v>60</v>
      </c>
      <c r="C36" s="37">
        <v>58851</v>
      </c>
      <c r="D36" s="42">
        <f>C36</f>
        <v>58851</v>
      </c>
      <c r="E36" s="8" t="str">
        <f t="shared" si="0"/>
        <v>-</v>
      </c>
      <c r="F36" s="45">
        <f t="shared" si="1"/>
        <v>1</v>
      </c>
    </row>
    <row r="37" spans="1:6" s="3" customFormat="1" ht="40.5" x14ac:dyDescent="0.2">
      <c r="A37" s="97" t="s">
        <v>235</v>
      </c>
      <c r="B37" s="18" t="s">
        <v>236</v>
      </c>
      <c r="C37" s="37">
        <v>20997</v>
      </c>
      <c r="D37" s="42">
        <f>C37</f>
        <v>20997</v>
      </c>
      <c r="E37" s="8" t="str">
        <f t="shared" si="0"/>
        <v>-</v>
      </c>
      <c r="F37" s="45">
        <f t="shared" si="1"/>
        <v>1</v>
      </c>
    </row>
    <row r="38" spans="1:6" s="3" customFormat="1" ht="42.75" customHeight="1" x14ac:dyDescent="0.2">
      <c r="A38" s="97" t="s">
        <v>157</v>
      </c>
      <c r="B38" s="18" t="s">
        <v>158</v>
      </c>
      <c r="C38" s="37">
        <f>C11+C13+C24+C30</f>
        <v>383568</v>
      </c>
      <c r="D38" s="37">
        <f>D11+D13+D24+D30</f>
        <v>383568</v>
      </c>
      <c r="E38" s="8" t="str">
        <f t="shared" si="0"/>
        <v>-</v>
      </c>
      <c r="F38" s="45">
        <f t="shared" si="1"/>
        <v>1</v>
      </c>
    </row>
    <row r="39" spans="1:6" ht="30" customHeight="1" x14ac:dyDescent="0.2">
      <c r="A39" s="151" t="s">
        <v>16</v>
      </c>
      <c r="B39" s="152" t="s">
        <v>228</v>
      </c>
      <c r="C39" s="135">
        <f>C40+C41+C42+C50+C52+C58+C59+C57</f>
        <v>16819</v>
      </c>
      <c r="D39" s="135">
        <f>D40+D41+D42+D50+D52+D58+D59+D57</f>
        <v>16819</v>
      </c>
      <c r="E39" s="131" t="str">
        <f t="shared" si="0"/>
        <v>-</v>
      </c>
      <c r="F39" s="153">
        <f t="shared" si="1"/>
        <v>1</v>
      </c>
    </row>
    <row r="40" spans="1:6" ht="28.5" customHeight="1" x14ac:dyDescent="0.2">
      <c r="A40" s="96" t="s">
        <v>17</v>
      </c>
      <c r="B40" s="20" t="s">
        <v>18</v>
      </c>
      <c r="C40" s="36">
        <v>569</v>
      </c>
      <c r="D40" s="38">
        <f>C40</f>
        <v>569</v>
      </c>
      <c r="E40" s="43" t="str">
        <f t="shared" si="0"/>
        <v>-</v>
      </c>
      <c r="F40" s="44">
        <f t="shared" si="1"/>
        <v>1</v>
      </c>
    </row>
    <row r="41" spans="1:6" ht="28.5" customHeight="1" x14ac:dyDescent="0.2">
      <c r="A41" s="96" t="s">
        <v>19</v>
      </c>
      <c r="B41" s="20" t="s">
        <v>20</v>
      </c>
      <c r="C41" s="36">
        <v>1725</v>
      </c>
      <c r="D41" s="38">
        <f t="shared" ref="D41:D59" si="3">C41</f>
        <v>1725</v>
      </c>
      <c r="E41" s="43" t="str">
        <f t="shared" si="0"/>
        <v>-</v>
      </c>
      <c r="F41" s="44">
        <f t="shared" si="1"/>
        <v>1</v>
      </c>
    </row>
    <row r="42" spans="1:6" ht="28.5" customHeight="1" x14ac:dyDescent="0.2">
      <c r="A42" s="96" t="s">
        <v>21</v>
      </c>
      <c r="B42" s="21" t="s">
        <v>229</v>
      </c>
      <c r="C42" s="38">
        <f>C43+C45+C46+C47+C48+C49</f>
        <v>61</v>
      </c>
      <c r="D42" s="38">
        <f>D43+D45+D46+D47+D48+D49</f>
        <v>61</v>
      </c>
      <c r="E42" s="43" t="str">
        <f t="shared" si="0"/>
        <v>-</v>
      </c>
      <c r="F42" s="44">
        <f t="shared" si="1"/>
        <v>1</v>
      </c>
    </row>
    <row r="43" spans="1:6" ht="28.5" customHeight="1" x14ac:dyDescent="0.2">
      <c r="A43" s="99" t="s">
        <v>39</v>
      </c>
      <c r="B43" s="90" t="s">
        <v>32</v>
      </c>
      <c r="C43" s="36">
        <v>7</v>
      </c>
      <c r="D43" s="38">
        <f t="shared" si="3"/>
        <v>7</v>
      </c>
      <c r="E43" s="43" t="str">
        <f t="shared" si="0"/>
        <v>-</v>
      </c>
      <c r="F43" s="44">
        <f t="shared" si="1"/>
        <v>1</v>
      </c>
    </row>
    <row r="44" spans="1:6" ht="28.5" customHeight="1" x14ac:dyDescent="0.2">
      <c r="A44" s="99" t="s">
        <v>40</v>
      </c>
      <c r="B44" s="91" t="s">
        <v>33</v>
      </c>
      <c r="C44" s="36">
        <v>7</v>
      </c>
      <c r="D44" s="38">
        <f t="shared" si="3"/>
        <v>7</v>
      </c>
      <c r="E44" s="43" t="str">
        <f t="shared" si="0"/>
        <v>-</v>
      </c>
      <c r="F44" s="44">
        <f t="shared" si="1"/>
        <v>1</v>
      </c>
    </row>
    <row r="45" spans="1:6" ht="28.5" customHeight="1" x14ac:dyDescent="0.2">
      <c r="A45" s="99" t="s">
        <v>41</v>
      </c>
      <c r="B45" s="90" t="s">
        <v>34</v>
      </c>
      <c r="C45" s="36">
        <v>17</v>
      </c>
      <c r="D45" s="38">
        <f t="shared" si="3"/>
        <v>17</v>
      </c>
      <c r="E45" s="43" t="str">
        <f t="shared" si="0"/>
        <v>-</v>
      </c>
      <c r="F45" s="44">
        <f t="shared" si="1"/>
        <v>1</v>
      </c>
    </row>
    <row r="46" spans="1:6" ht="28.5" customHeight="1" x14ac:dyDescent="0.2">
      <c r="A46" s="99" t="s">
        <v>42</v>
      </c>
      <c r="B46" s="90" t="s">
        <v>35</v>
      </c>
      <c r="C46" s="36">
        <v>0</v>
      </c>
      <c r="D46" s="38">
        <f t="shared" si="3"/>
        <v>0</v>
      </c>
      <c r="E46" s="43" t="str">
        <f t="shared" si="0"/>
        <v>-</v>
      </c>
      <c r="F46" s="44" t="str">
        <f t="shared" si="1"/>
        <v>-</v>
      </c>
    </row>
    <row r="47" spans="1:6" ht="28.5" customHeight="1" x14ac:dyDescent="0.2">
      <c r="A47" s="99" t="s">
        <v>43</v>
      </c>
      <c r="B47" s="90" t="s">
        <v>36</v>
      </c>
      <c r="C47" s="36">
        <v>0</v>
      </c>
      <c r="D47" s="38">
        <f t="shared" si="3"/>
        <v>0</v>
      </c>
      <c r="E47" s="43" t="str">
        <f t="shared" si="0"/>
        <v>-</v>
      </c>
      <c r="F47" s="44" t="str">
        <f t="shared" si="1"/>
        <v>-</v>
      </c>
    </row>
    <row r="48" spans="1:6" ht="28.5" customHeight="1" x14ac:dyDescent="0.2">
      <c r="A48" s="99" t="s">
        <v>44</v>
      </c>
      <c r="B48" s="90" t="s">
        <v>37</v>
      </c>
      <c r="C48" s="36">
        <v>20</v>
      </c>
      <c r="D48" s="38">
        <f t="shared" si="3"/>
        <v>20</v>
      </c>
      <c r="E48" s="43" t="str">
        <f t="shared" si="0"/>
        <v>-</v>
      </c>
      <c r="F48" s="44">
        <f t="shared" si="1"/>
        <v>1</v>
      </c>
    </row>
    <row r="49" spans="1:6" ht="28.5" customHeight="1" x14ac:dyDescent="0.2">
      <c r="A49" s="99" t="s">
        <v>45</v>
      </c>
      <c r="B49" s="90" t="s">
        <v>38</v>
      </c>
      <c r="C49" s="36">
        <v>17</v>
      </c>
      <c r="D49" s="38">
        <f t="shared" si="3"/>
        <v>17</v>
      </c>
      <c r="E49" s="43" t="str">
        <f t="shared" si="0"/>
        <v>-</v>
      </c>
      <c r="F49" s="44">
        <f t="shared" si="1"/>
        <v>1</v>
      </c>
    </row>
    <row r="50" spans="1:6" ht="28.5" customHeight="1" x14ac:dyDescent="0.2">
      <c r="A50" s="96" t="s">
        <v>22</v>
      </c>
      <c r="B50" s="20" t="s">
        <v>159</v>
      </c>
      <c r="C50" s="36">
        <v>11169</v>
      </c>
      <c r="D50" s="38">
        <f t="shared" si="3"/>
        <v>11169</v>
      </c>
      <c r="E50" s="43" t="str">
        <f t="shared" si="0"/>
        <v>-</v>
      </c>
      <c r="F50" s="44">
        <f t="shared" si="1"/>
        <v>1</v>
      </c>
    </row>
    <row r="51" spans="1:6" ht="28.5" customHeight="1" x14ac:dyDescent="0.2">
      <c r="A51" s="99" t="s">
        <v>160</v>
      </c>
      <c r="B51" s="90" t="s">
        <v>161</v>
      </c>
      <c r="C51" s="36">
        <v>35</v>
      </c>
      <c r="D51" s="38">
        <f t="shared" si="3"/>
        <v>35</v>
      </c>
      <c r="E51" s="43" t="str">
        <f t="shared" si="0"/>
        <v>-</v>
      </c>
      <c r="F51" s="44">
        <f t="shared" si="1"/>
        <v>1</v>
      </c>
    </row>
    <row r="52" spans="1:6" ht="28.5" customHeight="1" x14ac:dyDescent="0.2">
      <c r="A52" s="96" t="s">
        <v>23</v>
      </c>
      <c r="B52" s="21" t="s">
        <v>227</v>
      </c>
      <c r="C52" s="34">
        <f>C53+C54+C55+C56</f>
        <v>2514</v>
      </c>
      <c r="D52" s="34">
        <f>D53+D54+D55+D56</f>
        <v>2514</v>
      </c>
      <c r="E52" s="43" t="str">
        <f t="shared" si="0"/>
        <v>-</v>
      </c>
      <c r="F52" s="44">
        <f t="shared" si="1"/>
        <v>1</v>
      </c>
    </row>
    <row r="53" spans="1:6" ht="28.5" customHeight="1" x14ac:dyDescent="0.2">
      <c r="A53" s="99" t="s">
        <v>50</v>
      </c>
      <c r="B53" s="90" t="s">
        <v>46</v>
      </c>
      <c r="C53" s="36">
        <v>1917</v>
      </c>
      <c r="D53" s="38">
        <f t="shared" si="3"/>
        <v>1917</v>
      </c>
      <c r="E53" s="43" t="str">
        <f t="shared" si="0"/>
        <v>-</v>
      </c>
      <c r="F53" s="44">
        <f t="shared" si="1"/>
        <v>1</v>
      </c>
    </row>
    <row r="54" spans="1:6" ht="28.5" customHeight="1" x14ac:dyDescent="0.2">
      <c r="A54" s="99" t="s">
        <v>51</v>
      </c>
      <c r="B54" s="90" t="s">
        <v>47</v>
      </c>
      <c r="C54" s="36">
        <v>274</v>
      </c>
      <c r="D54" s="38">
        <f t="shared" si="3"/>
        <v>274</v>
      </c>
      <c r="E54" s="43" t="str">
        <f t="shared" si="0"/>
        <v>-</v>
      </c>
      <c r="F54" s="44">
        <f t="shared" si="1"/>
        <v>1</v>
      </c>
    </row>
    <row r="55" spans="1:6" ht="28.5" customHeight="1" x14ac:dyDescent="0.2">
      <c r="A55" s="99" t="s">
        <v>52</v>
      </c>
      <c r="B55" s="90" t="s">
        <v>48</v>
      </c>
      <c r="C55" s="36">
        <v>0</v>
      </c>
      <c r="D55" s="38">
        <f t="shared" si="3"/>
        <v>0</v>
      </c>
      <c r="E55" s="43" t="str">
        <f t="shared" si="0"/>
        <v>-</v>
      </c>
      <c r="F55" s="44" t="str">
        <f t="shared" si="1"/>
        <v>-</v>
      </c>
    </row>
    <row r="56" spans="1:6" ht="28.5" customHeight="1" x14ac:dyDescent="0.2">
      <c r="A56" s="99" t="s">
        <v>53</v>
      </c>
      <c r="B56" s="90" t="s">
        <v>49</v>
      </c>
      <c r="C56" s="36">
        <v>323</v>
      </c>
      <c r="D56" s="38">
        <f t="shared" si="3"/>
        <v>323</v>
      </c>
      <c r="E56" s="43" t="str">
        <f t="shared" si="0"/>
        <v>-</v>
      </c>
      <c r="F56" s="44">
        <f t="shared" si="1"/>
        <v>1</v>
      </c>
    </row>
    <row r="57" spans="1:6" ht="28.5" customHeight="1" x14ac:dyDescent="0.2">
      <c r="A57" s="96" t="s">
        <v>24</v>
      </c>
      <c r="B57" s="20" t="s">
        <v>25</v>
      </c>
      <c r="C57" s="36">
        <v>0</v>
      </c>
      <c r="D57" s="38">
        <f t="shared" si="3"/>
        <v>0</v>
      </c>
      <c r="E57" s="43" t="str">
        <f t="shared" si="0"/>
        <v>-</v>
      </c>
      <c r="F57" s="44" t="str">
        <f t="shared" si="1"/>
        <v>-</v>
      </c>
    </row>
    <row r="58" spans="1:6" ht="28.5" customHeight="1" x14ac:dyDescent="0.2">
      <c r="A58" s="96" t="s">
        <v>26</v>
      </c>
      <c r="B58" s="20" t="s">
        <v>162</v>
      </c>
      <c r="C58" s="36">
        <v>600</v>
      </c>
      <c r="D58" s="38">
        <f t="shared" si="3"/>
        <v>600</v>
      </c>
      <c r="E58" s="43" t="str">
        <f t="shared" si="0"/>
        <v>-</v>
      </c>
      <c r="F58" s="46">
        <f t="shared" si="1"/>
        <v>1</v>
      </c>
    </row>
    <row r="59" spans="1:6" ht="28.5" customHeight="1" x14ac:dyDescent="0.2">
      <c r="A59" s="96" t="s">
        <v>27</v>
      </c>
      <c r="B59" s="20" t="s">
        <v>28</v>
      </c>
      <c r="C59" s="36">
        <v>181</v>
      </c>
      <c r="D59" s="38">
        <f t="shared" si="3"/>
        <v>181</v>
      </c>
      <c r="E59" s="43" t="str">
        <f t="shared" si="0"/>
        <v>-</v>
      </c>
      <c r="F59" s="44">
        <f t="shared" si="1"/>
        <v>1</v>
      </c>
    </row>
    <row r="60" spans="1:6" ht="30" customHeight="1" x14ac:dyDescent="0.2">
      <c r="A60" s="142" t="s">
        <v>135</v>
      </c>
      <c r="B60" s="143" t="s">
        <v>163</v>
      </c>
      <c r="C60" s="154">
        <f>C61+C62+C63+C64</f>
        <v>10839</v>
      </c>
      <c r="D60" s="154">
        <f>D61+D62+D63+D64</f>
        <v>10839</v>
      </c>
      <c r="E60" s="131" t="str">
        <f t="shared" si="0"/>
        <v>-</v>
      </c>
      <c r="F60" s="155">
        <f t="shared" si="1"/>
        <v>1</v>
      </c>
    </row>
    <row r="61" spans="1:6" ht="42" customHeight="1" x14ac:dyDescent="0.2">
      <c r="A61" s="96" t="s">
        <v>101</v>
      </c>
      <c r="B61" s="20" t="s">
        <v>115</v>
      </c>
      <c r="C61" s="36">
        <v>0</v>
      </c>
      <c r="D61" s="38">
        <f>C61</f>
        <v>0</v>
      </c>
      <c r="E61" s="34" t="str">
        <f t="shared" si="0"/>
        <v>-</v>
      </c>
      <c r="F61" s="44" t="str">
        <f t="shared" si="1"/>
        <v>-</v>
      </c>
    </row>
    <row r="62" spans="1:6" ht="31.5" customHeight="1" x14ac:dyDescent="0.2">
      <c r="A62" s="96" t="s">
        <v>30</v>
      </c>
      <c r="B62" s="20" t="s">
        <v>55</v>
      </c>
      <c r="C62" s="36">
        <v>10239</v>
      </c>
      <c r="D62" s="38">
        <f>C62</f>
        <v>10239</v>
      </c>
      <c r="E62" s="34" t="str">
        <f t="shared" si="0"/>
        <v>-</v>
      </c>
      <c r="F62" s="44">
        <f t="shared" si="1"/>
        <v>1</v>
      </c>
    </row>
    <row r="63" spans="1:6" ht="31.5" customHeight="1" x14ac:dyDescent="0.2">
      <c r="A63" s="96" t="s">
        <v>31</v>
      </c>
      <c r="B63" s="20" t="s">
        <v>103</v>
      </c>
      <c r="C63" s="36">
        <v>0</v>
      </c>
      <c r="D63" s="38">
        <f>C63</f>
        <v>0</v>
      </c>
      <c r="E63" s="34" t="str">
        <f t="shared" si="0"/>
        <v>-</v>
      </c>
      <c r="F63" s="44" t="str">
        <f t="shared" si="1"/>
        <v>-</v>
      </c>
    </row>
    <row r="64" spans="1:6" ht="31.5" customHeight="1" x14ac:dyDescent="0.2">
      <c r="A64" s="96" t="s">
        <v>102</v>
      </c>
      <c r="B64" s="20" t="s">
        <v>104</v>
      </c>
      <c r="C64" s="36">
        <v>600</v>
      </c>
      <c r="D64" s="38">
        <f>C64</f>
        <v>600</v>
      </c>
      <c r="E64" s="34" t="str">
        <f t="shared" si="0"/>
        <v>-</v>
      </c>
      <c r="F64" s="44">
        <f t="shared" si="1"/>
        <v>1</v>
      </c>
    </row>
    <row r="65" spans="1:6" ht="32.25" customHeight="1" x14ac:dyDescent="0.2">
      <c r="A65" s="142" t="s">
        <v>137</v>
      </c>
      <c r="B65" s="143" t="s">
        <v>116</v>
      </c>
      <c r="C65" s="154">
        <v>3885</v>
      </c>
      <c r="D65" s="154">
        <f>C65</f>
        <v>3885</v>
      </c>
      <c r="E65" s="131" t="str">
        <f t="shared" si="0"/>
        <v>-</v>
      </c>
      <c r="F65" s="155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16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5.7109375" style="2" customWidth="1"/>
    <col min="4" max="4" width="26.85546875" style="2" customWidth="1"/>
    <col min="5" max="5" width="25.140625" style="2" customWidth="1"/>
    <col min="6" max="6" width="20.7109375" style="2" customWidth="1"/>
    <col min="7" max="16384" width="9.140625" style="2"/>
  </cols>
  <sheetData>
    <row r="1" spans="1:6" s="24" customFormat="1" ht="46.5" customHeight="1" x14ac:dyDescent="0.2">
      <c r="A1" s="160" t="str">
        <f>NFZ!A1</f>
        <v>ZMIANA PLANU FINANSOWEGO NARODOWEGO FUNDUSZU ZDROWIA NA 2017 ROK Z DNIA 18 LIPCA 2017 R.</v>
      </c>
      <c r="B1" s="160"/>
      <c r="C1" s="160"/>
      <c r="D1" s="160"/>
      <c r="E1" s="160"/>
      <c r="F1" s="160"/>
    </row>
    <row r="2" spans="1:6" s="26" customFormat="1" ht="33" customHeight="1" x14ac:dyDescent="0.2">
      <c r="A2" s="115" t="s">
        <v>74</v>
      </c>
      <c r="B2" s="115"/>
      <c r="C2" s="116"/>
    </row>
    <row r="3" spans="1:6" ht="33" customHeight="1" x14ac:dyDescent="0.25">
      <c r="A3" s="5"/>
      <c r="B3" s="6"/>
      <c r="C3" s="40"/>
      <c r="D3" s="40"/>
      <c r="E3" s="40" t="s">
        <v>141</v>
      </c>
      <c r="F3" s="7"/>
    </row>
    <row r="4" spans="1:6" s="117" customFormat="1" ht="65.099999999999994" customHeight="1" x14ac:dyDescent="0.2">
      <c r="A4" s="124" t="s">
        <v>118</v>
      </c>
      <c r="B4" s="124" t="s">
        <v>54</v>
      </c>
      <c r="C4" s="125" t="s">
        <v>230</v>
      </c>
      <c r="D4" s="125" t="s">
        <v>171</v>
      </c>
      <c r="E4" s="126" t="s">
        <v>172</v>
      </c>
      <c r="F4" s="126" t="s">
        <v>173</v>
      </c>
    </row>
    <row r="5" spans="1:6" s="118" customFormat="1" ht="14.25" x14ac:dyDescent="0.2">
      <c r="A5" s="127">
        <v>1</v>
      </c>
      <c r="B5" s="128">
        <v>2</v>
      </c>
      <c r="C5" s="127">
        <v>3</v>
      </c>
      <c r="D5" s="128">
        <v>4</v>
      </c>
      <c r="E5" s="127">
        <v>5</v>
      </c>
      <c r="F5" s="128">
        <v>6</v>
      </c>
    </row>
    <row r="6" spans="1:6" ht="30" customHeight="1" x14ac:dyDescent="0.2">
      <c r="A6" s="101" t="s">
        <v>0</v>
      </c>
      <c r="B6" s="73" t="s">
        <v>232</v>
      </c>
      <c r="C6" s="150">
        <f>C7+C8+C9+C14+C15+C16+C17+C18+C19+C20+C21+C22+C23+C24+C28+C29+C31+C32+C33+C34</f>
        <v>2520214</v>
      </c>
      <c r="D6" s="150">
        <f>D7+D8+D9+D14+D15+D16+D17+D18+D19+D20+D21+D22+D23+D24+D28+D29+D31+D32+D33+D34</f>
        <v>2570595</v>
      </c>
      <c r="E6" s="131">
        <f>IF(C6=D6,"-",D6-C6)</f>
        <v>50381</v>
      </c>
      <c r="F6" s="148">
        <f>IF(C6=0,"-",D6/C6)</f>
        <v>1.02</v>
      </c>
    </row>
    <row r="7" spans="1:6" ht="33" customHeight="1" x14ac:dyDescent="0.2">
      <c r="A7" s="93" t="s">
        <v>1</v>
      </c>
      <c r="B7" s="15" t="s">
        <v>119</v>
      </c>
      <c r="C7" s="36">
        <v>362423</v>
      </c>
      <c r="D7" s="14">
        <f>C7</f>
        <v>362423</v>
      </c>
      <c r="E7" s="43" t="str">
        <f t="shared" ref="E7:E65" si="0">IF(C7=D7,"-",D7-C7)</f>
        <v>-</v>
      </c>
      <c r="F7" s="44">
        <f t="shared" ref="F7:F65" si="1">IF(C7=0,"-",D7/C7)</f>
        <v>1</v>
      </c>
    </row>
    <row r="8" spans="1:6" ht="33" customHeight="1" x14ac:dyDescent="0.2">
      <c r="A8" s="93" t="s">
        <v>2</v>
      </c>
      <c r="B8" s="15" t="s">
        <v>120</v>
      </c>
      <c r="C8" s="36">
        <v>209126</v>
      </c>
      <c r="D8" s="14">
        <f>C8+4000</f>
        <v>213126</v>
      </c>
      <c r="E8" s="43">
        <f t="shared" si="0"/>
        <v>4000</v>
      </c>
      <c r="F8" s="44">
        <f t="shared" si="1"/>
        <v>1.0190999999999999</v>
      </c>
    </row>
    <row r="9" spans="1:6" ht="33" customHeight="1" x14ac:dyDescent="0.2">
      <c r="A9" s="93" t="s">
        <v>3</v>
      </c>
      <c r="B9" s="15" t="s">
        <v>117</v>
      </c>
      <c r="C9" s="36">
        <v>1202677</v>
      </c>
      <c r="D9" s="14">
        <f>C9+37381-4000</f>
        <v>1236058</v>
      </c>
      <c r="E9" s="43">
        <f t="shared" si="0"/>
        <v>33381</v>
      </c>
      <c r="F9" s="44">
        <f t="shared" si="1"/>
        <v>1.0278</v>
      </c>
    </row>
    <row r="10" spans="1:6" ht="31.5" customHeight="1" x14ac:dyDescent="0.2">
      <c r="A10" s="94" t="s">
        <v>56</v>
      </c>
      <c r="B10" s="89" t="s">
        <v>142</v>
      </c>
      <c r="C10" s="36">
        <v>98046</v>
      </c>
      <c r="D10" s="14">
        <f t="shared" ref="D10:D34" si="2">C10</f>
        <v>98046</v>
      </c>
      <c r="E10" s="43" t="str">
        <f t="shared" si="0"/>
        <v>-</v>
      </c>
      <c r="F10" s="44">
        <f t="shared" si="1"/>
        <v>1</v>
      </c>
    </row>
    <row r="11" spans="1:6" ht="31.5" customHeight="1" x14ac:dyDescent="0.2">
      <c r="A11" s="94" t="s">
        <v>143</v>
      </c>
      <c r="B11" s="89" t="s">
        <v>146</v>
      </c>
      <c r="C11" s="36">
        <v>88075</v>
      </c>
      <c r="D11" s="14">
        <f t="shared" si="2"/>
        <v>88075</v>
      </c>
      <c r="E11" s="43" t="str">
        <f t="shared" si="0"/>
        <v>-</v>
      </c>
      <c r="F11" s="44">
        <f t="shared" si="1"/>
        <v>1</v>
      </c>
    </row>
    <row r="12" spans="1:6" ht="31.5" customHeight="1" x14ac:dyDescent="0.2">
      <c r="A12" s="94" t="s">
        <v>144</v>
      </c>
      <c r="B12" s="89" t="s">
        <v>147</v>
      </c>
      <c r="C12" s="36">
        <v>44008</v>
      </c>
      <c r="D12" s="14">
        <f t="shared" si="2"/>
        <v>44008</v>
      </c>
      <c r="E12" s="43" t="str">
        <f t="shared" si="0"/>
        <v>-</v>
      </c>
      <c r="F12" s="44">
        <f t="shared" si="1"/>
        <v>1</v>
      </c>
    </row>
    <row r="13" spans="1:6" ht="31.5" customHeight="1" x14ac:dyDescent="0.2">
      <c r="A13" s="94" t="s">
        <v>145</v>
      </c>
      <c r="B13" s="89" t="s">
        <v>148</v>
      </c>
      <c r="C13" s="36">
        <v>20877</v>
      </c>
      <c r="D13" s="14">
        <f t="shared" si="2"/>
        <v>20877</v>
      </c>
      <c r="E13" s="43" t="str">
        <f t="shared" si="0"/>
        <v>-</v>
      </c>
      <c r="F13" s="44">
        <f t="shared" si="1"/>
        <v>1</v>
      </c>
    </row>
    <row r="14" spans="1:6" ht="33" customHeight="1" x14ac:dyDescent="0.2">
      <c r="A14" s="93" t="s">
        <v>4</v>
      </c>
      <c r="B14" s="15" t="s">
        <v>125</v>
      </c>
      <c r="C14" s="36">
        <v>98327</v>
      </c>
      <c r="D14" s="14">
        <f t="shared" si="2"/>
        <v>98327</v>
      </c>
      <c r="E14" s="43" t="str">
        <f t="shared" si="0"/>
        <v>-</v>
      </c>
      <c r="F14" s="44">
        <f t="shared" si="1"/>
        <v>1</v>
      </c>
    </row>
    <row r="15" spans="1:6" ht="33" customHeight="1" x14ac:dyDescent="0.2">
      <c r="A15" s="93" t="s">
        <v>5</v>
      </c>
      <c r="B15" s="15" t="s">
        <v>121</v>
      </c>
      <c r="C15" s="36">
        <v>77045</v>
      </c>
      <c r="D15" s="14">
        <f t="shared" si="2"/>
        <v>77045</v>
      </c>
      <c r="E15" s="43" t="str">
        <f t="shared" si="0"/>
        <v>-</v>
      </c>
      <c r="F15" s="44">
        <f t="shared" si="1"/>
        <v>1</v>
      </c>
    </row>
    <row r="16" spans="1:6" ht="33" customHeight="1" x14ac:dyDescent="0.2">
      <c r="A16" s="93" t="s">
        <v>6</v>
      </c>
      <c r="B16" s="15" t="s">
        <v>127</v>
      </c>
      <c r="C16" s="36">
        <v>43207</v>
      </c>
      <c r="D16" s="14">
        <f t="shared" si="2"/>
        <v>43207</v>
      </c>
      <c r="E16" s="43" t="str">
        <f t="shared" si="0"/>
        <v>-</v>
      </c>
      <c r="F16" s="44">
        <f t="shared" si="1"/>
        <v>1</v>
      </c>
    </row>
    <row r="17" spans="1:6" ht="33" customHeight="1" x14ac:dyDescent="0.2">
      <c r="A17" s="93" t="s">
        <v>7</v>
      </c>
      <c r="B17" s="15" t="s">
        <v>126</v>
      </c>
      <c r="C17" s="36">
        <v>21878</v>
      </c>
      <c r="D17" s="14">
        <f t="shared" si="2"/>
        <v>21878</v>
      </c>
      <c r="E17" s="43" t="str">
        <f t="shared" si="0"/>
        <v>-</v>
      </c>
      <c r="F17" s="44">
        <f t="shared" si="1"/>
        <v>1</v>
      </c>
    </row>
    <row r="18" spans="1:6" ht="33" customHeight="1" x14ac:dyDescent="0.2">
      <c r="A18" s="93" t="s">
        <v>8</v>
      </c>
      <c r="B18" s="15" t="s">
        <v>122</v>
      </c>
      <c r="C18" s="36">
        <v>84599</v>
      </c>
      <c r="D18" s="14">
        <f t="shared" si="2"/>
        <v>84599</v>
      </c>
      <c r="E18" s="43" t="str">
        <f t="shared" si="0"/>
        <v>-</v>
      </c>
      <c r="F18" s="44">
        <f t="shared" si="1"/>
        <v>1</v>
      </c>
    </row>
    <row r="19" spans="1:6" ht="33" customHeight="1" x14ac:dyDescent="0.2">
      <c r="A19" s="93" t="s">
        <v>9</v>
      </c>
      <c r="B19" s="15" t="s">
        <v>123</v>
      </c>
      <c r="C19" s="36">
        <v>21202</v>
      </c>
      <c r="D19" s="14">
        <f t="shared" si="2"/>
        <v>21202</v>
      </c>
      <c r="E19" s="43" t="str">
        <f t="shared" si="0"/>
        <v>-</v>
      </c>
      <c r="F19" s="44">
        <f t="shared" si="1"/>
        <v>1</v>
      </c>
    </row>
    <row r="20" spans="1:6" ht="33" customHeight="1" x14ac:dyDescent="0.2">
      <c r="A20" s="93" t="s">
        <v>10</v>
      </c>
      <c r="B20" s="15" t="s">
        <v>128</v>
      </c>
      <c r="C20" s="36">
        <v>2961</v>
      </c>
      <c r="D20" s="14">
        <f t="shared" si="2"/>
        <v>2961</v>
      </c>
      <c r="E20" s="43" t="str">
        <f t="shared" si="0"/>
        <v>-</v>
      </c>
      <c r="F20" s="44">
        <f t="shared" si="1"/>
        <v>1</v>
      </c>
    </row>
    <row r="21" spans="1:6" ht="46.5" customHeight="1" x14ac:dyDescent="0.2">
      <c r="A21" s="93" t="s">
        <v>11</v>
      </c>
      <c r="B21" s="15" t="s">
        <v>124</v>
      </c>
      <c r="C21" s="36">
        <v>6380</v>
      </c>
      <c r="D21" s="14">
        <f t="shared" si="2"/>
        <v>6380</v>
      </c>
      <c r="E21" s="43" t="str">
        <f t="shared" si="0"/>
        <v>-</v>
      </c>
      <c r="F21" s="44">
        <f t="shared" si="1"/>
        <v>1</v>
      </c>
    </row>
    <row r="22" spans="1:6" ht="33" customHeight="1" x14ac:dyDescent="0.2">
      <c r="A22" s="93" t="s">
        <v>12</v>
      </c>
      <c r="B22" s="15" t="s">
        <v>165</v>
      </c>
      <c r="C22" s="36">
        <v>75339</v>
      </c>
      <c r="D22" s="14">
        <f t="shared" si="2"/>
        <v>75339</v>
      </c>
      <c r="E22" s="43" t="str">
        <f t="shared" si="0"/>
        <v>-</v>
      </c>
      <c r="F22" s="44">
        <f t="shared" si="1"/>
        <v>1</v>
      </c>
    </row>
    <row r="23" spans="1:6" ht="33" customHeight="1" x14ac:dyDescent="0.2">
      <c r="A23" s="93" t="s">
        <v>13</v>
      </c>
      <c r="B23" s="15" t="s">
        <v>149</v>
      </c>
      <c r="C23" s="36">
        <v>34008</v>
      </c>
      <c r="D23" s="14">
        <f>C23+1000</f>
        <v>35008</v>
      </c>
      <c r="E23" s="43">
        <f t="shared" si="0"/>
        <v>1000</v>
      </c>
      <c r="F23" s="44">
        <f t="shared" si="1"/>
        <v>1.0294000000000001</v>
      </c>
    </row>
    <row r="24" spans="1:6" ht="33" customHeight="1" x14ac:dyDescent="0.2">
      <c r="A24" s="95" t="s">
        <v>14</v>
      </c>
      <c r="B24" s="35" t="s">
        <v>222</v>
      </c>
      <c r="C24" s="36">
        <v>272874</v>
      </c>
      <c r="D24" s="36">
        <f>SUM(D25:D27)</f>
        <v>272874</v>
      </c>
      <c r="E24" s="43" t="str">
        <f t="shared" si="0"/>
        <v>-</v>
      </c>
      <c r="F24" s="44">
        <f t="shared" si="1"/>
        <v>1</v>
      </c>
    </row>
    <row r="25" spans="1:6" ht="37.5" x14ac:dyDescent="0.2">
      <c r="A25" s="94" t="s">
        <v>129</v>
      </c>
      <c r="B25" s="89" t="s">
        <v>151</v>
      </c>
      <c r="C25" s="36">
        <v>272204</v>
      </c>
      <c r="D25" s="14">
        <f>C25</f>
        <v>272204</v>
      </c>
      <c r="E25" s="43" t="str">
        <f t="shared" si="0"/>
        <v>-</v>
      </c>
      <c r="F25" s="44">
        <f t="shared" si="1"/>
        <v>1</v>
      </c>
    </row>
    <row r="26" spans="1:6" ht="31.5" customHeight="1" x14ac:dyDescent="0.2">
      <c r="A26" s="94" t="s">
        <v>150</v>
      </c>
      <c r="B26" s="89" t="s">
        <v>153</v>
      </c>
      <c r="C26" s="36">
        <v>520</v>
      </c>
      <c r="D26" s="14">
        <f>C26</f>
        <v>520</v>
      </c>
      <c r="E26" s="43" t="str">
        <f t="shared" si="0"/>
        <v>-</v>
      </c>
      <c r="F26" s="44">
        <f t="shared" si="1"/>
        <v>1</v>
      </c>
    </row>
    <row r="27" spans="1:6" ht="37.5" x14ac:dyDescent="0.2">
      <c r="A27" s="94" t="s">
        <v>154</v>
      </c>
      <c r="B27" s="89" t="s">
        <v>152</v>
      </c>
      <c r="C27" s="36">
        <v>150</v>
      </c>
      <c r="D27" s="14">
        <f t="shared" si="2"/>
        <v>150</v>
      </c>
      <c r="E27" s="43" t="str">
        <f t="shared" si="0"/>
        <v>-</v>
      </c>
      <c r="F27" s="44">
        <f t="shared" si="1"/>
        <v>1</v>
      </c>
    </row>
    <row r="28" spans="1:6" ht="33" customHeight="1" x14ac:dyDescent="0.2">
      <c r="A28" s="96" t="s">
        <v>15</v>
      </c>
      <c r="B28" s="16" t="s">
        <v>113</v>
      </c>
      <c r="C28" s="36">
        <v>0</v>
      </c>
      <c r="D28" s="14">
        <f t="shared" si="2"/>
        <v>0</v>
      </c>
      <c r="E28" s="43" t="str">
        <f t="shared" si="0"/>
        <v>-</v>
      </c>
      <c r="F28" s="44" t="str">
        <f t="shared" si="1"/>
        <v>-</v>
      </c>
    </row>
    <row r="29" spans="1:6" ht="33" customHeight="1" x14ac:dyDescent="0.2">
      <c r="A29" s="96" t="s">
        <v>110</v>
      </c>
      <c r="B29" s="17" t="s">
        <v>155</v>
      </c>
      <c r="C29" s="36">
        <v>0</v>
      </c>
      <c r="D29" s="14">
        <f>C29+10000</f>
        <v>10000</v>
      </c>
      <c r="E29" s="43">
        <f t="shared" si="0"/>
        <v>10000</v>
      </c>
      <c r="F29" s="44" t="str">
        <f t="shared" si="1"/>
        <v>-</v>
      </c>
    </row>
    <row r="30" spans="1:6" ht="31.5" customHeight="1" x14ac:dyDescent="0.2">
      <c r="A30" s="94" t="s">
        <v>156</v>
      </c>
      <c r="B30" s="89" t="s">
        <v>167</v>
      </c>
      <c r="C30" s="36">
        <v>0</v>
      </c>
      <c r="D30" s="14">
        <f t="shared" si="2"/>
        <v>0</v>
      </c>
      <c r="E30" s="43" t="str">
        <f t="shared" si="0"/>
        <v>-</v>
      </c>
      <c r="F30" s="44" t="str">
        <f t="shared" si="1"/>
        <v>-</v>
      </c>
    </row>
    <row r="31" spans="1:6" ht="33" customHeight="1" x14ac:dyDescent="0.2">
      <c r="A31" s="96" t="s">
        <v>111</v>
      </c>
      <c r="B31" s="17" t="s">
        <v>114</v>
      </c>
      <c r="C31" s="36">
        <v>0</v>
      </c>
      <c r="D31" s="14">
        <f t="shared" si="2"/>
        <v>0</v>
      </c>
      <c r="E31" s="43" t="str">
        <f t="shared" si="0"/>
        <v>-</v>
      </c>
      <c r="F31" s="44" t="str">
        <f t="shared" si="1"/>
        <v>-</v>
      </c>
    </row>
    <row r="32" spans="1:6" ht="33" customHeight="1" x14ac:dyDescent="0.2">
      <c r="A32" s="96" t="s">
        <v>112</v>
      </c>
      <c r="B32" s="17" t="s">
        <v>166</v>
      </c>
      <c r="C32" s="36">
        <v>7668</v>
      </c>
      <c r="D32" s="14">
        <f>C32+2000</f>
        <v>9668</v>
      </c>
      <c r="E32" s="43">
        <f t="shared" si="0"/>
        <v>2000</v>
      </c>
      <c r="F32" s="44">
        <f t="shared" si="1"/>
        <v>1.2607999999999999</v>
      </c>
    </row>
    <row r="33" spans="1:6" ht="42.75" customHeight="1" x14ac:dyDescent="0.2">
      <c r="A33" s="96" t="s">
        <v>223</v>
      </c>
      <c r="B33" s="17" t="s">
        <v>224</v>
      </c>
      <c r="C33" s="36">
        <v>0</v>
      </c>
      <c r="D33" s="14">
        <f t="shared" si="2"/>
        <v>0</v>
      </c>
      <c r="E33" s="43" t="str">
        <f>IF(C33=D33,"-",D33-C33)</f>
        <v>-</v>
      </c>
      <c r="F33" s="44" t="str">
        <f>IF(C33=0,"-",D33/C33)</f>
        <v>-</v>
      </c>
    </row>
    <row r="34" spans="1:6" ht="33" customHeight="1" x14ac:dyDescent="0.2">
      <c r="A34" s="96" t="s">
        <v>233</v>
      </c>
      <c r="B34" s="17" t="s">
        <v>234</v>
      </c>
      <c r="C34" s="36">
        <v>500</v>
      </c>
      <c r="D34" s="14">
        <f t="shared" si="2"/>
        <v>500</v>
      </c>
      <c r="E34" s="43" t="str">
        <f>IF(C34=D34,"-",D34-C34)</f>
        <v>-</v>
      </c>
      <c r="F34" s="44">
        <f>IF(C34=0,"-",D34/C34)</f>
        <v>1</v>
      </c>
    </row>
    <row r="35" spans="1:6" s="3" customFormat="1" ht="31.5" customHeight="1" x14ac:dyDescent="0.2">
      <c r="A35" s="97" t="s">
        <v>58</v>
      </c>
      <c r="B35" s="18" t="s">
        <v>59</v>
      </c>
      <c r="C35" s="37">
        <v>0</v>
      </c>
      <c r="D35" s="42">
        <f>C35</f>
        <v>0</v>
      </c>
      <c r="E35" s="8" t="str">
        <f t="shared" si="0"/>
        <v>-</v>
      </c>
      <c r="F35" s="45" t="str">
        <f t="shared" si="1"/>
        <v>-</v>
      </c>
    </row>
    <row r="36" spans="1:6" s="3" customFormat="1" ht="31.5" customHeight="1" x14ac:dyDescent="0.2">
      <c r="A36" s="97" t="s">
        <v>57</v>
      </c>
      <c r="B36" s="18" t="s">
        <v>60</v>
      </c>
      <c r="C36" s="37">
        <v>96024</v>
      </c>
      <c r="D36" s="42">
        <f>C36</f>
        <v>96024</v>
      </c>
      <c r="E36" s="8" t="str">
        <f t="shared" si="0"/>
        <v>-</v>
      </c>
      <c r="F36" s="45">
        <f t="shared" si="1"/>
        <v>1</v>
      </c>
    </row>
    <row r="37" spans="1:6" s="3" customFormat="1" ht="40.5" x14ac:dyDescent="0.2">
      <c r="A37" s="97" t="s">
        <v>235</v>
      </c>
      <c r="B37" s="18" t="s">
        <v>236</v>
      </c>
      <c r="C37" s="37">
        <v>18622</v>
      </c>
      <c r="D37" s="42">
        <f>C37</f>
        <v>18622</v>
      </c>
      <c r="E37" s="8" t="str">
        <f t="shared" si="0"/>
        <v>-</v>
      </c>
      <c r="F37" s="45">
        <f t="shared" si="1"/>
        <v>1</v>
      </c>
    </row>
    <row r="38" spans="1:6" s="3" customFormat="1" ht="42.75" customHeight="1" x14ac:dyDescent="0.2">
      <c r="A38" s="97" t="s">
        <v>157</v>
      </c>
      <c r="B38" s="18" t="s">
        <v>158</v>
      </c>
      <c r="C38" s="37">
        <f>C11+C13+C24+C30</f>
        <v>381826</v>
      </c>
      <c r="D38" s="37">
        <f>D11+D13+D24+D30</f>
        <v>381826</v>
      </c>
      <c r="E38" s="8" t="str">
        <f t="shared" si="0"/>
        <v>-</v>
      </c>
      <c r="F38" s="45">
        <f t="shared" si="1"/>
        <v>1</v>
      </c>
    </row>
    <row r="39" spans="1:6" ht="30" customHeight="1" x14ac:dyDescent="0.2">
      <c r="A39" s="151" t="s">
        <v>16</v>
      </c>
      <c r="B39" s="152" t="s">
        <v>228</v>
      </c>
      <c r="C39" s="135">
        <f>C40+C41+C42+C50+C52+C58+C59+C57</f>
        <v>19410</v>
      </c>
      <c r="D39" s="135">
        <f>D40+D41+D42+D50+D52+D58+D59+D57</f>
        <v>19410</v>
      </c>
      <c r="E39" s="131" t="str">
        <f t="shared" si="0"/>
        <v>-</v>
      </c>
      <c r="F39" s="153">
        <f t="shared" si="1"/>
        <v>1</v>
      </c>
    </row>
    <row r="40" spans="1:6" ht="28.5" customHeight="1" x14ac:dyDescent="0.2">
      <c r="A40" s="96" t="s">
        <v>17</v>
      </c>
      <c r="B40" s="20" t="s">
        <v>18</v>
      </c>
      <c r="C40" s="36">
        <v>777</v>
      </c>
      <c r="D40" s="38">
        <f>C40</f>
        <v>777</v>
      </c>
      <c r="E40" s="43" t="str">
        <f t="shared" si="0"/>
        <v>-</v>
      </c>
      <c r="F40" s="44">
        <f t="shared" si="1"/>
        <v>1</v>
      </c>
    </row>
    <row r="41" spans="1:6" ht="28.5" customHeight="1" x14ac:dyDescent="0.2">
      <c r="A41" s="96" t="s">
        <v>19</v>
      </c>
      <c r="B41" s="20" t="s">
        <v>20</v>
      </c>
      <c r="C41" s="36">
        <v>2077</v>
      </c>
      <c r="D41" s="38">
        <f t="shared" ref="D41:D59" si="3">C41</f>
        <v>2077</v>
      </c>
      <c r="E41" s="43" t="str">
        <f t="shared" si="0"/>
        <v>-</v>
      </c>
      <c r="F41" s="44">
        <f t="shared" si="1"/>
        <v>1</v>
      </c>
    </row>
    <row r="42" spans="1:6" ht="28.5" customHeight="1" x14ac:dyDescent="0.2">
      <c r="A42" s="96" t="s">
        <v>21</v>
      </c>
      <c r="B42" s="21" t="s">
        <v>229</v>
      </c>
      <c r="C42" s="38">
        <f>C43+C45+C46+C47+C48+C49</f>
        <v>132</v>
      </c>
      <c r="D42" s="38">
        <f>D43+D45+D46+D47+D48+D49</f>
        <v>132</v>
      </c>
      <c r="E42" s="43" t="str">
        <f t="shared" si="0"/>
        <v>-</v>
      </c>
      <c r="F42" s="44">
        <f t="shared" si="1"/>
        <v>1</v>
      </c>
    </row>
    <row r="43" spans="1:6" ht="28.5" customHeight="1" x14ac:dyDescent="0.2">
      <c r="A43" s="99" t="s">
        <v>39</v>
      </c>
      <c r="B43" s="90" t="s">
        <v>32</v>
      </c>
      <c r="C43" s="36">
        <v>30</v>
      </c>
      <c r="D43" s="38">
        <f t="shared" si="3"/>
        <v>30</v>
      </c>
      <c r="E43" s="43" t="str">
        <f t="shared" si="0"/>
        <v>-</v>
      </c>
      <c r="F43" s="44">
        <f t="shared" si="1"/>
        <v>1</v>
      </c>
    </row>
    <row r="44" spans="1:6" ht="28.5" customHeight="1" x14ac:dyDescent="0.2">
      <c r="A44" s="99" t="s">
        <v>40</v>
      </c>
      <c r="B44" s="91" t="s">
        <v>33</v>
      </c>
      <c r="C44" s="36">
        <v>27</v>
      </c>
      <c r="D44" s="38">
        <f t="shared" si="3"/>
        <v>27</v>
      </c>
      <c r="E44" s="43" t="str">
        <f t="shared" si="0"/>
        <v>-</v>
      </c>
      <c r="F44" s="44">
        <f t="shared" si="1"/>
        <v>1</v>
      </c>
    </row>
    <row r="45" spans="1:6" ht="28.5" customHeight="1" x14ac:dyDescent="0.2">
      <c r="A45" s="99" t="s">
        <v>41</v>
      </c>
      <c r="B45" s="90" t="s">
        <v>34</v>
      </c>
      <c r="C45" s="36">
        <v>5</v>
      </c>
      <c r="D45" s="38">
        <f t="shared" si="3"/>
        <v>5</v>
      </c>
      <c r="E45" s="43" t="str">
        <f t="shared" si="0"/>
        <v>-</v>
      </c>
      <c r="F45" s="44">
        <f t="shared" si="1"/>
        <v>1</v>
      </c>
    </row>
    <row r="46" spans="1:6" ht="28.5" customHeight="1" x14ac:dyDescent="0.2">
      <c r="A46" s="99" t="s">
        <v>42</v>
      </c>
      <c r="B46" s="90" t="s">
        <v>35</v>
      </c>
      <c r="C46" s="36">
        <v>0</v>
      </c>
      <c r="D46" s="38">
        <f t="shared" si="3"/>
        <v>0</v>
      </c>
      <c r="E46" s="43" t="str">
        <f t="shared" si="0"/>
        <v>-</v>
      </c>
      <c r="F46" s="44" t="str">
        <f t="shared" si="1"/>
        <v>-</v>
      </c>
    </row>
    <row r="47" spans="1:6" ht="28.5" customHeight="1" x14ac:dyDescent="0.2">
      <c r="A47" s="99" t="s">
        <v>43</v>
      </c>
      <c r="B47" s="90" t="s">
        <v>36</v>
      </c>
      <c r="C47" s="36">
        <v>0</v>
      </c>
      <c r="D47" s="38">
        <f t="shared" si="3"/>
        <v>0</v>
      </c>
      <c r="E47" s="43" t="str">
        <f t="shared" si="0"/>
        <v>-</v>
      </c>
      <c r="F47" s="44" t="str">
        <f t="shared" si="1"/>
        <v>-</v>
      </c>
    </row>
    <row r="48" spans="1:6" ht="28.5" customHeight="1" x14ac:dyDescent="0.2">
      <c r="A48" s="99" t="s">
        <v>44</v>
      </c>
      <c r="B48" s="90" t="s">
        <v>37</v>
      </c>
      <c r="C48" s="36">
        <v>94</v>
      </c>
      <c r="D48" s="38">
        <f t="shared" si="3"/>
        <v>94</v>
      </c>
      <c r="E48" s="43" t="str">
        <f t="shared" si="0"/>
        <v>-</v>
      </c>
      <c r="F48" s="44">
        <f t="shared" si="1"/>
        <v>1</v>
      </c>
    </row>
    <row r="49" spans="1:6" ht="28.5" customHeight="1" x14ac:dyDescent="0.2">
      <c r="A49" s="99" t="s">
        <v>45</v>
      </c>
      <c r="B49" s="90" t="s">
        <v>38</v>
      </c>
      <c r="C49" s="36">
        <v>3</v>
      </c>
      <c r="D49" s="38">
        <f t="shared" si="3"/>
        <v>3</v>
      </c>
      <c r="E49" s="43" t="str">
        <f t="shared" si="0"/>
        <v>-</v>
      </c>
      <c r="F49" s="44">
        <f t="shared" si="1"/>
        <v>1</v>
      </c>
    </row>
    <row r="50" spans="1:6" ht="28.5" customHeight="1" x14ac:dyDescent="0.2">
      <c r="A50" s="96" t="s">
        <v>22</v>
      </c>
      <c r="B50" s="20" t="s">
        <v>159</v>
      </c>
      <c r="C50" s="36">
        <v>11662</v>
      </c>
      <c r="D50" s="38">
        <f t="shared" si="3"/>
        <v>11662</v>
      </c>
      <c r="E50" s="43" t="str">
        <f t="shared" si="0"/>
        <v>-</v>
      </c>
      <c r="F50" s="44">
        <f t="shared" si="1"/>
        <v>1</v>
      </c>
    </row>
    <row r="51" spans="1:6" ht="28.5" customHeight="1" x14ac:dyDescent="0.2">
      <c r="A51" s="99" t="s">
        <v>160</v>
      </c>
      <c r="B51" s="90" t="s">
        <v>161</v>
      </c>
      <c r="C51" s="36">
        <v>30</v>
      </c>
      <c r="D51" s="38">
        <f t="shared" si="3"/>
        <v>30</v>
      </c>
      <c r="E51" s="43" t="str">
        <f t="shared" si="0"/>
        <v>-</v>
      </c>
      <c r="F51" s="44">
        <f t="shared" si="1"/>
        <v>1</v>
      </c>
    </row>
    <row r="52" spans="1:6" ht="28.5" customHeight="1" x14ac:dyDescent="0.2">
      <c r="A52" s="96" t="s">
        <v>23</v>
      </c>
      <c r="B52" s="21" t="s">
        <v>227</v>
      </c>
      <c r="C52" s="34">
        <f>C53+C54+C55+C56</f>
        <v>2617</v>
      </c>
      <c r="D52" s="34">
        <f>D53+D54+D55+D56</f>
        <v>2617</v>
      </c>
      <c r="E52" s="43" t="str">
        <f t="shared" si="0"/>
        <v>-</v>
      </c>
      <c r="F52" s="44">
        <f t="shared" si="1"/>
        <v>1</v>
      </c>
    </row>
    <row r="53" spans="1:6" ht="28.5" customHeight="1" x14ac:dyDescent="0.2">
      <c r="A53" s="99" t="s">
        <v>50</v>
      </c>
      <c r="B53" s="90" t="s">
        <v>46</v>
      </c>
      <c r="C53" s="36">
        <v>2003</v>
      </c>
      <c r="D53" s="38">
        <f t="shared" si="3"/>
        <v>2003</v>
      </c>
      <c r="E53" s="43" t="str">
        <f t="shared" si="0"/>
        <v>-</v>
      </c>
      <c r="F53" s="44">
        <f t="shared" si="1"/>
        <v>1</v>
      </c>
    </row>
    <row r="54" spans="1:6" ht="28.5" customHeight="1" x14ac:dyDescent="0.2">
      <c r="A54" s="99" t="s">
        <v>51</v>
      </c>
      <c r="B54" s="90" t="s">
        <v>47</v>
      </c>
      <c r="C54" s="36">
        <v>285</v>
      </c>
      <c r="D54" s="38">
        <f t="shared" si="3"/>
        <v>285</v>
      </c>
      <c r="E54" s="43" t="str">
        <f t="shared" si="0"/>
        <v>-</v>
      </c>
      <c r="F54" s="44">
        <f t="shared" si="1"/>
        <v>1</v>
      </c>
    </row>
    <row r="55" spans="1:6" ht="28.5" customHeight="1" x14ac:dyDescent="0.2">
      <c r="A55" s="99" t="s">
        <v>52</v>
      </c>
      <c r="B55" s="90" t="s">
        <v>48</v>
      </c>
      <c r="C55" s="36">
        <v>0</v>
      </c>
      <c r="D55" s="38">
        <f t="shared" si="3"/>
        <v>0</v>
      </c>
      <c r="E55" s="43" t="str">
        <f t="shared" si="0"/>
        <v>-</v>
      </c>
      <c r="F55" s="44" t="str">
        <f t="shared" si="1"/>
        <v>-</v>
      </c>
    </row>
    <row r="56" spans="1:6" ht="28.5" customHeight="1" x14ac:dyDescent="0.2">
      <c r="A56" s="99" t="s">
        <v>53</v>
      </c>
      <c r="B56" s="90" t="s">
        <v>49</v>
      </c>
      <c r="C56" s="36">
        <v>329</v>
      </c>
      <c r="D56" s="38">
        <f t="shared" si="3"/>
        <v>329</v>
      </c>
      <c r="E56" s="43" t="str">
        <f t="shared" si="0"/>
        <v>-</v>
      </c>
      <c r="F56" s="44">
        <f t="shared" si="1"/>
        <v>1</v>
      </c>
    </row>
    <row r="57" spans="1:6" ht="28.5" customHeight="1" x14ac:dyDescent="0.2">
      <c r="A57" s="96" t="s">
        <v>24</v>
      </c>
      <c r="B57" s="20" t="s">
        <v>25</v>
      </c>
      <c r="C57" s="36">
        <v>0</v>
      </c>
      <c r="D57" s="38">
        <f t="shared" si="3"/>
        <v>0</v>
      </c>
      <c r="E57" s="43" t="str">
        <f t="shared" si="0"/>
        <v>-</v>
      </c>
      <c r="F57" s="44" t="str">
        <f t="shared" si="1"/>
        <v>-</v>
      </c>
    </row>
    <row r="58" spans="1:6" ht="28.5" customHeight="1" x14ac:dyDescent="0.2">
      <c r="A58" s="96" t="s">
        <v>26</v>
      </c>
      <c r="B58" s="20" t="s">
        <v>162</v>
      </c>
      <c r="C58" s="36">
        <v>1980</v>
      </c>
      <c r="D58" s="38">
        <f t="shared" si="3"/>
        <v>1980</v>
      </c>
      <c r="E58" s="43" t="str">
        <f t="shared" si="0"/>
        <v>-</v>
      </c>
      <c r="F58" s="46">
        <f t="shared" si="1"/>
        <v>1</v>
      </c>
    </row>
    <row r="59" spans="1:6" ht="28.5" customHeight="1" x14ac:dyDescent="0.2">
      <c r="A59" s="96" t="s">
        <v>27</v>
      </c>
      <c r="B59" s="20" t="s">
        <v>28</v>
      </c>
      <c r="C59" s="36">
        <v>165</v>
      </c>
      <c r="D59" s="38">
        <f t="shared" si="3"/>
        <v>165</v>
      </c>
      <c r="E59" s="43" t="str">
        <f t="shared" si="0"/>
        <v>-</v>
      </c>
      <c r="F59" s="44">
        <f t="shared" si="1"/>
        <v>1</v>
      </c>
    </row>
    <row r="60" spans="1:6" ht="30" customHeight="1" x14ac:dyDescent="0.2">
      <c r="A60" s="142" t="s">
        <v>135</v>
      </c>
      <c r="B60" s="143" t="s">
        <v>163</v>
      </c>
      <c r="C60" s="154">
        <f>C61+C62+C63+C64</f>
        <v>946</v>
      </c>
      <c r="D60" s="154">
        <f>D61+D62+D63+D64</f>
        <v>946</v>
      </c>
      <c r="E60" s="131" t="str">
        <f t="shared" si="0"/>
        <v>-</v>
      </c>
      <c r="F60" s="155">
        <f t="shared" si="1"/>
        <v>1</v>
      </c>
    </row>
    <row r="61" spans="1:6" ht="42" customHeight="1" x14ac:dyDescent="0.2">
      <c r="A61" s="96" t="s">
        <v>101</v>
      </c>
      <c r="B61" s="20" t="s">
        <v>115</v>
      </c>
      <c r="C61" s="36">
        <v>0</v>
      </c>
      <c r="D61" s="38">
        <f>C61</f>
        <v>0</v>
      </c>
      <c r="E61" s="34" t="str">
        <f t="shared" si="0"/>
        <v>-</v>
      </c>
      <c r="F61" s="44" t="str">
        <f t="shared" si="1"/>
        <v>-</v>
      </c>
    </row>
    <row r="62" spans="1:6" ht="31.5" customHeight="1" x14ac:dyDescent="0.2">
      <c r="A62" s="96" t="s">
        <v>30</v>
      </c>
      <c r="B62" s="20" t="s">
        <v>55</v>
      </c>
      <c r="C62" s="36">
        <v>209</v>
      </c>
      <c r="D62" s="38">
        <f>C62</f>
        <v>209</v>
      </c>
      <c r="E62" s="34" t="str">
        <f t="shared" si="0"/>
        <v>-</v>
      </c>
      <c r="F62" s="44">
        <f t="shared" si="1"/>
        <v>1</v>
      </c>
    </row>
    <row r="63" spans="1:6" ht="31.5" customHeight="1" x14ac:dyDescent="0.2">
      <c r="A63" s="96" t="s">
        <v>31</v>
      </c>
      <c r="B63" s="20" t="s">
        <v>103</v>
      </c>
      <c r="C63" s="36">
        <v>0</v>
      </c>
      <c r="D63" s="38">
        <f>C63</f>
        <v>0</v>
      </c>
      <c r="E63" s="34" t="str">
        <f t="shared" si="0"/>
        <v>-</v>
      </c>
      <c r="F63" s="44" t="str">
        <f t="shared" si="1"/>
        <v>-</v>
      </c>
    </row>
    <row r="64" spans="1:6" ht="31.5" customHeight="1" x14ac:dyDescent="0.2">
      <c r="A64" s="96" t="s">
        <v>102</v>
      </c>
      <c r="B64" s="20" t="s">
        <v>104</v>
      </c>
      <c r="C64" s="36">
        <v>737</v>
      </c>
      <c r="D64" s="38">
        <f>C64</f>
        <v>737</v>
      </c>
      <c r="E64" s="34" t="str">
        <f t="shared" si="0"/>
        <v>-</v>
      </c>
      <c r="F64" s="44">
        <f t="shared" si="1"/>
        <v>1</v>
      </c>
    </row>
    <row r="65" spans="1:6" ht="32.25" customHeight="1" x14ac:dyDescent="0.2">
      <c r="A65" s="142" t="s">
        <v>137</v>
      </c>
      <c r="B65" s="143" t="s">
        <v>116</v>
      </c>
      <c r="C65" s="154">
        <v>45</v>
      </c>
      <c r="D65" s="154">
        <f>C65</f>
        <v>45</v>
      </c>
      <c r="E65" s="131" t="str">
        <f t="shared" si="0"/>
        <v>-</v>
      </c>
      <c r="F65" s="155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5.7109375" style="2" customWidth="1"/>
    <col min="4" max="4" width="26.85546875" style="2" customWidth="1"/>
    <col min="5" max="5" width="25.140625" style="2" customWidth="1"/>
    <col min="6" max="6" width="20.7109375" style="2" customWidth="1"/>
    <col min="7" max="16384" width="9.140625" style="2"/>
  </cols>
  <sheetData>
    <row r="1" spans="1:6" s="24" customFormat="1" ht="46.5" customHeight="1" x14ac:dyDescent="0.2">
      <c r="A1" s="160" t="str">
        <f>NFZ!A1</f>
        <v>ZMIANA PLANU FINANSOWEGO NARODOWEGO FUNDUSZU ZDROWIA NA 2017 ROK Z DNIA 18 LIPCA 2017 R.</v>
      </c>
      <c r="B1" s="160"/>
      <c r="C1" s="160"/>
      <c r="D1" s="160"/>
      <c r="E1" s="160"/>
      <c r="F1" s="160"/>
    </row>
    <row r="2" spans="1:6" s="26" customFormat="1" ht="33" customHeight="1" x14ac:dyDescent="0.2">
      <c r="A2" s="115" t="s">
        <v>75</v>
      </c>
      <c r="B2" s="115"/>
      <c r="C2" s="116"/>
    </row>
    <row r="3" spans="1:6" ht="33" customHeight="1" x14ac:dyDescent="0.25">
      <c r="A3" s="5"/>
      <c r="B3" s="6"/>
      <c r="C3" s="40"/>
      <c r="D3" s="40"/>
      <c r="E3" s="40" t="s">
        <v>141</v>
      </c>
      <c r="F3" s="7"/>
    </row>
    <row r="4" spans="1:6" s="117" customFormat="1" ht="65.099999999999994" customHeight="1" x14ac:dyDescent="0.2">
      <c r="A4" s="124" t="s">
        <v>118</v>
      </c>
      <c r="B4" s="124" t="s">
        <v>54</v>
      </c>
      <c r="C4" s="125" t="s">
        <v>230</v>
      </c>
      <c r="D4" s="125" t="s">
        <v>171</v>
      </c>
      <c r="E4" s="126" t="s">
        <v>172</v>
      </c>
      <c r="F4" s="126" t="s">
        <v>173</v>
      </c>
    </row>
    <row r="5" spans="1:6" s="118" customFormat="1" ht="14.25" x14ac:dyDescent="0.2">
      <c r="A5" s="127">
        <v>1</v>
      </c>
      <c r="B5" s="128">
        <v>2</v>
      </c>
      <c r="C5" s="127">
        <v>3</v>
      </c>
      <c r="D5" s="128">
        <v>4</v>
      </c>
      <c r="E5" s="127">
        <v>5</v>
      </c>
      <c r="F5" s="128">
        <v>6</v>
      </c>
    </row>
    <row r="6" spans="1:6" ht="30" customHeight="1" x14ac:dyDescent="0.2">
      <c r="A6" s="101" t="s">
        <v>0</v>
      </c>
      <c r="B6" s="73" t="s">
        <v>232</v>
      </c>
      <c r="C6" s="150">
        <f>C7+C8+C9+C14+C15+C16+C17+C18+C19+C20+C21+C22+C23+C24+C28+C29+C31+C32+C33+C34</f>
        <v>6470969</v>
      </c>
      <c r="D6" s="150">
        <f>D7+D8+D9+D14+D15+D16+D17+D18+D19+D20+D21+D22+D23+D24+D28+D29+D31+D32+D33+D34</f>
        <v>6600078</v>
      </c>
      <c r="E6" s="131">
        <f>IF(C6=D6,"-",D6-C6)</f>
        <v>129109</v>
      </c>
      <c r="F6" s="148">
        <f>IF(C6=0,"-",D6/C6)</f>
        <v>1.02</v>
      </c>
    </row>
    <row r="7" spans="1:6" ht="33" customHeight="1" x14ac:dyDescent="0.2">
      <c r="A7" s="93" t="s">
        <v>1</v>
      </c>
      <c r="B7" s="15" t="s">
        <v>119</v>
      </c>
      <c r="C7" s="36">
        <v>930844</v>
      </c>
      <c r="D7" s="14">
        <f>C7</f>
        <v>930844</v>
      </c>
      <c r="E7" s="43" t="str">
        <f t="shared" ref="E7:E65" si="0">IF(C7=D7,"-",D7-C7)</f>
        <v>-</v>
      </c>
      <c r="F7" s="44">
        <f t="shared" ref="F7:F65" si="1">IF(C7=0,"-",D7/C7)</f>
        <v>1</v>
      </c>
    </row>
    <row r="8" spans="1:6" ht="33" customHeight="1" x14ac:dyDescent="0.2">
      <c r="A8" s="93" t="s">
        <v>2</v>
      </c>
      <c r="B8" s="15" t="s">
        <v>120</v>
      </c>
      <c r="C8" s="36">
        <v>530025</v>
      </c>
      <c r="D8" s="14">
        <f>C8</f>
        <v>530025</v>
      </c>
      <c r="E8" s="43" t="str">
        <f t="shared" si="0"/>
        <v>-</v>
      </c>
      <c r="F8" s="44">
        <f t="shared" si="1"/>
        <v>1</v>
      </c>
    </row>
    <row r="9" spans="1:6" ht="33" customHeight="1" x14ac:dyDescent="0.2">
      <c r="A9" s="93" t="s">
        <v>3</v>
      </c>
      <c r="B9" s="15" t="s">
        <v>117</v>
      </c>
      <c r="C9" s="36">
        <v>3100223</v>
      </c>
      <c r="D9" s="14">
        <f>C9+129109</f>
        <v>3229332</v>
      </c>
      <c r="E9" s="43">
        <f t="shared" si="0"/>
        <v>129109</v>
      </c>
      <c r="F9" s="44">
        <f t="shared" si="1"/>
        <v>1.0416000000000001</v>
      </c>
    </row>
    <row r="10" spans="1:6" ht="31.5" customHeight="1" x14ac:dyDescent="0.2">
      <c r="A10" s="94" t="s">
        <v>56</v>
      </c>
      <c r="B10" s="89" t="s">
        <v>142</v>
      </c>
      <c r="C10" s="36">
        <v>301590</v>
      </c>
      <c r="D10" s="14">
        <f t="shared" ref="D10:D34" si="2">C10</f>
        <v>301590</v>
      </c>
      <c r="E10" s="43" t="str">
        <f t="shared" si="0"/>
        <v>-</v>
      </c>
      <c r="F10" s="44">
        <f t="shared" si="1"/>
        <v>1</v>
      </c>
    </row>
    <row r="11" spans="1:6" ht="31.5" customHeight="1" x14ac:dyDescent="0.2">
      <c r="A11" s="94" t="s">
        <v>143</v>
      </c>
      <c r="B11" s="89" t="s">
        <v>146</v>
      </c>
      <c r="C11" s="36">
        <v>278652</v>
      </c>
      <c r="D11" s="14">
        <f t="shared" si="2"/>
        <v>278652</v>
      </c>
      <c r="E11" s="43" t="str">
        <f t="shared" si="0"/>
        <v>-</v>
      </c>
      <c r="F11" s="44">
        <f t="shared" si="1"/>
        <v>1</v>
      </c>
    </row>
    <row r="12" spans="1:6" ht="31.5" customHeight="1" x14ac:dyDescent="0.2">
      <c r="A12" s="94" t="s">
        <v>144</v>
      </c>
      <c r="B12" s="89" t="s">
        <v>147</v>
      </c>
      <c r="C12" s="36">
        <v>126768</v>
      </c>
      <c r="D12" s="14">
        <f t="shared" si="2"/>
        <v>126768</v>
      </c>
      <c r="E12" s="43" t="str">
        <f t="shared" si="0"/>
        <v>-</v>
      </c>
      <c r="F12" s="44">
        <f t="shared" si="1"/>
        <v>1</v>
      </c>
    </row>
    <row r="13" spans="1:6" ht="31.5" customHeight="1" x14ac:dyDescent="0.2">
      <c r="A13" s="94" t="s">
        <v>145</v>
      </c>
      <c r="B13" s="89" t="s">
        <v>148</v>
      </c>
      <c r="C13" s="36">
        <v>56344</v>
      </c>
      <c r="D13" s="14">
        <f t="shared" si="2"/>
        <v>56344</v>
      </c>
      <c r="E13" s="43" t="str">
        <f t="shared" si="0"/>
        <v>-</v>
      </c>
      <c r="F13" s="44">
        <f t="shared" si="1"/>
        <v>1</v>
      </c>
    </row>
    <row r="14" spans="1:6" ht="33" customHeight="1" x14ac:dyDescent="0.2">
      <c r="A14" s="93" t="s">
        <v>4</v>
      </c>
      <c r="B14" s="15" t="s">
        <v>125</v>
      </c>
      <c r="C14" s="36">
        <v>230238</v>
      </c>
      <c r="D14" s="14">
        <f t="shared" si="2"/>
        <v>230238</v>
      </c>
      <c r="E14" s="43" t="str">
        <f t="shared" si="0"/>
        <v>-</v>
      </c>
      <c r="F14" s="44">
        <f t="shared" si="1"/>
        <v>1</v>
      </c>
    </row>
    <row r="15" spans="1:6" ht="33" customHeight="1" x14ac:dyDescent="0.2">
      <c r="A15" s="93" t="s">
        <v>5</v>
      </c>
      <c r="B15" s="15" t="s">
        <v>121</v>
      </c>
      <c r="C15" s="36">
        <v>178293</v>
      </c>
      <c r="D15" s="14">
        <f t="shared" si="2"/>
        <v>178293</v>
      </c>
      <c r="E15" s="43" t="str">
        <f t="shared" si="0"/>
        <v>-</v>
      </c>
      <c r="F15" s="44">
        <f t="shared" si="1"/>
        <v>1</v>
      </c>
    </row>
    <row r="16" spans="1:6" ht="33" customHeight="1" x14ac:dyDescent="0.2">
      <c r="A16" s="93" t="s">
        <v>6</v>
      </c>
      <c r="B16" s="15" t="s">
        <v>127</v>
      </c>
      <c r="C16" s="36">
        <v>85978</v>
      </c>
      <c r="D16" s="14">
        <f t="shared" si="2"/>
        <v>85978</v>
      </c>
      <c r="E16" s="43" t="str">
        <f t="shared" si="0"/>
        <v>-</v>
      </c>
      <c r="F16" s="44">
        <f t="shared" si="1"/>
        <v>1</v>
      </c>
    </row>
    <row r="17" spans="1:6" ht="33" customHeight="1" x14ac:dyDescent="0.2">
      <c r="A17" s="93" t="s">
        <v>7</v>
      </c>
      <c r="B17" s="15" t="s">
        <v>126</v>
      </c>
      <c r="C17" s="36">
        <v>62023</v>
      </c>
      <c r="D17" s="14">
        <f t="shared" si="2"/>
        <v>62023</v>
      </c>
      <c r="E17" s="43" t="str">
        <f t="shared" si="0"/>
        <v>-</v>
      </c>
      <c r="F17" s="44">
        <f t="shared" si="1"/>
        <v>1</v>
      </c>
    </row>
    <row r="18" spans="1:6" ht="33" customHeight="1" x14ac:dyDescent="0.2">
      <c r="A18" s="93" t="s">
        <v>8</v>
      </c>
      <c r="B18" s="15" t="s">
        <v>122</v>
      </c>
      <c r="C18" s="36">
        <v>150436</v>
      </c>
      <c r="D18" s="14">
        <f t="shared" si="2"/>
        <v>150436</v>
      </c>
      <c r="E18" s="43" t="str">
        <f t="shared" si="0"/>
        <v>-</v>
      </c>
      <c r="F18" s="44">
        <f t="shared" si="1"/>
        <v>1</v>
      </c>
    </row>
    <row r="19" spans="1:6" ht="33" customHeight="1" x14ac:dyDescent="0.2">
      <c r="A19" s="93" t="s">
        <v>9</v>
      </c>
      <c r="B19" s="15" t="s">
        <v>123</v>
      </c>
      <c r="C19" s="36">
        <v>61500</v>
      </c>
      <c r="D19" s="14">
        <f t="shared" si="2"/>
        <v>61500</v>
      </c>
      <c r="E19" s="43" t="str">
        <f t="shared" si="0"/>
        <v>-</v>
      </c>
      <c r="F19" s="44">
        <f t="shared" si="1"/>
        <v>1</v>
      </c>
    </row>
    <row r="20" spans="1:6" ht="33" customHeight="1" x14ac:dyDescent="0.2">
      <c r="A20" s="93" t="s">
        <v>10</v>
      </c>
      <c r="B20" s="15" t="s">
        <v>128</v>
      </c>
      <c r="C20" s="36">
        <v>3527</v>
      </c>
      <c r="D20" s="14">
        <f t="shared" si="2"/>
        <v>3527</v>
      </c>
      <c r="E20" s="43" t="str">
        <f t="shared" si="0"/>
        <v>-</v>
      </c>
      <c r="F20" s="44">
        <f t="shared" si="1"/>
        <v>1</v>
      </c>
    </row>
    <row r="21" spans="1:6" ht="46.5" customHeight="1" x14ac:dyDescent="0.2">
      <c r="A21" s="93" t="s">
        <v>11</v>
      </c>
      <c r="B21" s="15" t="s">
        <v>124</v>
      </c>
      <c r="C21" s="36">
        <v>18418</v>
      </c>
      <c r="D21" s="14">
        <f t="shared" si="2"/>
        <v>18418</v>
      </c>
      <c r="E21" s="43" t="str">
        <f t="shared" si="0"/>
        <v>-</v>
      </c>
      <c r="F21" s="44">
        <f t="shared" si="1"/>
        <v>1</v>
      </c>
    </row>
    <row r="22" spans="1:6" ht="33" customHeight="1" x14ac:dyDescent="0.2">
      <c r="A22" s="93" t="s">
        <v>12</v>
      </c>
      <c r="B22" s="15" t="s">
        <v>165</v>
      </c>
      <c r="C22" s="36">
        <v>221835</v>
      </c>
      <c r="D22" s="14">
        <f t="shared" si="2"/>
        <v>221835</v>
      </c>
      <c r="E22" s="43" t="str">
        <f t="shared" si="0"/>
        <v>-</v>
      </c>
      <c r="F22" s="44">
        <f t="shared" si="1"/>
        <v>1</v>
      </c>
    </row>
    <row r="23" spans="1:6" ht="33" customHeight="1" x14ac:dyDescent="0.2">
      <c r="A23" s="93" t="s">
        <v>13</v>
      </c>
      <c r="B23" s="15" t="s">
        <v>149</v>
      </c>
      <c r="C23" s="36">
        <v>82000</v>
      </c>
      <c r="D23" s="14">
        <f t="shared" si="2"/>
        <v>82000</v>
      </c>
      <c r="E23" s="43" t="str">
        <f t="shared" si="0"/>
        <v>-</v>
      </c>
      <c r="F23" s="44">
        <f t="shared" si="1"/>
        <v>1</v>
      </c>
    </row>
    <row r="24" spans="1:6" ht="33" customHeight="1" x14ac:dyDescent="0.2">
      <c r="A24" s="95" t="s">
        <v>14</v>
      </c>
      <c r="B24" s="35" t="s">
        <v>222</v>
      </c>
      <c r="C24" s="36">
        <v>765414</v>
      </c>
      <c r="D24" s="36">
        <f>SUM(D25:D27)</f>
        <v>765414</v>
      </c>
      <c r="E24" s="43" t="str">
        <f t="shared" si="0"/>
        <v>-</v>
      </c>
      <c r="F24" s="44">
        <f t="shared" si="1"/>
        <v>1</v>
      </c>
    </row>
    <row r="25" spans="1:6" ht="37.5" x14ac:dyDescent="0.2">
      <c r="A25" s="94" t="s">
        <v>129</v>
      </c>
      <c r="B25" s="89" t="s">
        <v>151</v>
      </c>
      <c r="C25" s="36">
        <v>763164</v>
      </c>
      <c r="D25" s="14">
        <f t="shared" si="2"/>
        <v>763164</v>
      </c>
      <c r="E25" s="43" t="str">
        <f t="shared" si="0"/>
        <v>-</v>
      </c>
      <c r="F25" s="44">
        <f t="shared" si="1"/>
        <v>1</v>
      </c>
    </row>
    <row r="26" spans="1:6" ht="31.5" customHeight="1" x14ac:dyDescent="0.2">
      <c r="A26" s="94" t="s">
        <v>150</v>
      </c>
      <c r="B26" s="89" t="s">
        <v>153</v>
      </c>
      <c r="C26" s="36">
        <v>1500</v>
      </c>
      <c r="D26" s="14">
        <f t="shared" si="2"/>
        <v>1500</v>
      </c>
      <c r="E26" s="43" t="str">
        <f t="shared" si="0"/>
        <v>-</v>
      </c>
      <c r="F26" s="44">
        <f t="shared" si="1"/>
        <v>1</v>
      </c>
    </row>
    <row r="27" spans="1:6" ht="37.5" x14ac:dyDescent="0.2">
      <c r="A27" s="94" t="s">
        <v>154</v>
      </c>
      <c r="B27" s="89" t="s">
        <v>152</v>
      </c>
      <c r="C27" s="36">
        <v>750</v>
      </c>
      <c r="D27" s="14">
        <f t="shared" si="2"/>
        <v>750</v>
      </c>
      <c r="E27" s="43" t="str">
        <f t="shared" si="0"/>
        <v>-</v>
      </c>
      <c r="F27" s="44">
        <f t="shared" si="1"/>
        <v>1</v>
      </c>
    </row>
    <row r="28" spans="1:6" ht="33" customHeight="1" x14ac:dyDescent="0.2">
      <c r="A28" s="96" t="s">
        <v>15</v>
      </c>
      <c r="B28" s="16" t="s">
        <v>113</v>
      </c>
      <c r="C28" s="36">
        <v>0</v>
      </c>
      <c r="D28" s="14">
        <f t="shared" si="2"/>
        <v>0</v>
      </c>
      <c r="E28" s="43" t="str">
        <f t="shared" si="0"/>
        <v>-</v>
      </c>
      <c r="F28" s="44" t="str">
        <f t="shared" si="1"/>
        <v>-</v>
      </c>
    </row>
    <row r="29" spans="1:6" ht="33" customHeight="1" x14ac:dyDescent="0.2">
      <c r="A29" s="96" t="s">
        <v>110</v>
      </c>
      <c r="B29" s="17" t="s">
        <v>155</v>
      </c>
      <c r="C29" s="36">
        <v>0</v>
      </c>
      <c r="D29" s="14">
        <f>C29</f>
        <v>0</v>
      </c>
      <c r="E29" s="43" t="str">
        <f t="shared" si="0"/>
        <v>-</v>
      </c>
      <c r="F29" s="44" t="str">
        <f t="shared" si="1"/>
        <v>-</v>
      </c>
    </row>
    <row r="30" spans="1:6" ht="31.5" customHeight="1" x14ac:dyDescent="0.2">
      <c r="A30" s="94" t="s">
        <v>156</v>
      </c>
      <c r="B30" s="89" t="s">
        <v>167</v>
      </c>
      <c r="C30" s="36">
        <v>0</v>
      </c>
      <c r="D30" s="14">
        <f t="shared" si="2"/>
        <v>0</v>
      </c>
      <c r="E30" s="43" t="str">
        <f t="shared" si="0"/>
        <v>-</v>
      </c>
      <c r="F30" s="44" t="str">
        <f t="shared" si="1"/>
        <v>-</v>
      </c>
    </row>
    <row r="31" spans="1:6" ht="33" customHeight="1" x14ac:dyDescent="0.2">
      <c r="A31" s="96" t="s">
        <v>111</v>
      </c>
      <c r="B31" s="17" t="s">
        <v>114</v>
      </c>
      <c r="C31" s="36">
        <v>0</v>
      </c>
      <c r="D31" s="14">
        <f t="shared" si="2"/>
        <v>0</v>
      </c>
      <c r="E31" s="43" t="str">
        <f t="shared" si="0"/>
        <v>-</v>
      </c>
      <c r="F31" s="44" t="str">
        <f t="shared" si="1"/>
        <v>-</v>
      </c>
    </row>
    <row r="32" spans="1:6" ht="33" customHeight="1" x14ac:dyDescent="0.2">
      <c r="A32" s="96" t="s">
        <v>112</v>
      </c>
      <c r="B32" s="17" t="s">
        <v>166</v>
      </c>
      <c r="C32" s="36">
        <v>45332</v>
      </c>
      <c r="D32" s="14">
        <f t="shared" si="2"/>
        <v>45332</v>
      </c>
      <c r="E32" s="43" t="str">
        <f t="shared" si="0"/>
        <v>-</v>
      </c>
      <c r="F32" s="44">
        <f t="shared" si="1"/>
        <v>1</v>
      </c>
    </row>
    <row r="33" spans="1:6" ht="42.75" customHeight="1" x14ac:dyDescent="0.2">
      <c r="A33" s="96" t="s">
        <v>223</v>
      </c>
      <c r="B33" s="17" t="s">
        <v>224</v>
      </c>
      <c r="C33" s="36">
        <v>0</v>
      </c>
      <c r="D33" s="14">
        <f t="shared" si="2"/>
        <v>0</v>
      </c>
      <c r="E33" s="43" t="str">
        <f>IF(C33=D33,"-",D33-C33)</f>
        <v>-</v>
      </c>
      <c r="F33" s="44" t="str">
        <f>IF(C33=0,"-",D33/C33)</f>
        <v>-</v>
      </c>
    </row>
    <row r="34" spans="1:6" ht="33" customHeight="1" x14ac:dyDescent="0.2">
      <c r="A34" s="96" t="s">
        <v>233</v>
      </c>
      <c r="B34" s="17" t="s">
        <v>234</v>
      </c>
      <c r="C34" s="36">
        <v>4883</v>
      </c>
      <c r="D34" s="14">
        <f t="shared" si="2"/>
        <v>4883</v>
      </c>
      <c r="E34" s="43" t="str">
        <f>IF(C34=D34,"-",D34-C34)</f>
        <v>-</v>
      </c>
      <c r="F34" s="44">
        <f>IF(C34=0,"-",D34/C34)</f>
        <v>1</v>
      </c>
    </row>
    <row r="35" spans="1:6" s="3" customFormat="1" ht="31.5" customHeight="1" x14ac:dyDescent="0.2">
      <c r="A35" s="97" t="s">
        <v>58</v>
      </c>
      <c r="B35" s="18" t="s">
        <v>59</v>
      </c>
      <c r="C35" s="37">
        <v>0</v>
      </c>
      <c r="D35" s="42">
        <f>C35</f>
        <v>0</v>
      </c>
      <c r="E35" s="8" t="str">
        <f t="shared" si="0"/>
        <v>-</v>
      </c>
      <c r="F35" s="45" t="str">
        <f t="shared" si="1"/>
        <v>-</v>
      </c>
    </row>
    <row r="36" spans="1:6" s="3" customFormat="1" ht="31.5" customHeight="1" x14ac:dyDescent="0.2">
      <c r="A36" s="97" t="s">
        <v>57</v>
      </c>
      <c r="B36" s="18" t="s">
        <v>60</v>
      </c>
      <c r="C36" s="37">
        <v>148552</v>
      </c>
      <c r="D36" s="42">
        <f>C36</f>
        <v>148552</v>
      </c>
      <c r="E36" s="8" t="str">
        <f t="shared" si="0"/>
        <v>-</v>
      </c>
      <c r="F36" s="45">
        <f t="shared" si="1"/>
        <v>1</v>
      </c>
    </row>
    <row r="37" spans="1:6" s="3" customFormat="1" ht="40.5" x14ac:dyDescent="0.2">
      <c r="A37" s="97" t="s">
        <v>235</v>
      </c>
      <c r="B37" s="18" t="s">
        <v>236</v>
      </c>
      <c r="C37" s="37">
        <v>44594</v>
      </c>
      <c r="D37" s="42">
        <f>C37</f>
        <v>44594</v>
      </c>
      <c r="E37" s="8" t="str">
        <f t="shared" si="0"/>
        <v>-</v>
      </c>
      <c r="F37" s="45">
        <f t="shared" si="1"/>
        <v>1</v>
      </c>
    </row>
    <row r="38" spans="1:6" s="3" customFormat="1" ht="42.75" customHeight="1" x14ac:dyDescent="0.2">
      <c r="A38" s="97" t="s">
        <v>157</v>
      </c>
      <c r="B38" s="18" t="s">
        <v>158</v>
      </c>
      <c r="C38" s="37">
        <f>C11+C13+C24+C30</f>
        <v>1100410</v>
      </c>
      <c r="D38" s="37">
        <f>D11+D13+D24+D30</f>
        <v>1100410</v>
      </c>
      <c r="E38" s="8" t="str">
        <f t="shared" si="0"/>
        <v>-</v>
      </c>
      <c r="F38" s="45">
        <f t="shared" si="1"/>
        <v>1</v>
      </c>
    </row>
    <row r="39" spans="1:6" ht="30" customHeight="1" x14ac:dyDescent="0.2">
      <c r="A39" s="151" t="s">
        <v>16</v>
      </c>
      <c r="B39" s="152" t="s">
        <v>228</v>
      </c>
      <c r="C39" s="135">
        <f>C40+C41+C42+C50+C52+C58+C59+C57</f>
        <v>44231</v>
      </c>
      <c r="D39" s="135">
        <f>D40+D41+D42+D50+D52+D58+D59+D57</f>
        <v>44231</v>
      </c>
      <c r="E39" s="131" t="str">
        <f t="shared" si="0"/>
        <v>-</v>
      </c>
      <c r="F39" s="153">
        <f t="shared" si="1"/>
        <v>1</v>
      </c>
    </row>
    <row r="40" spans="1:6" ht="28.5" customHeight="1" x14ac:dyDescent="0.2">
      <c r="A40" s="96" t="s">
        <v>17</v>
      </c>
      <c r="B40" s="20" t="s">
        <v>18</v>
      </c>
      <c r="C40" s="36">
        <v>2360</v>
      </c>
      <c r="D40" s="38">
        <f>C40</f>
        <v>2360</v>
      </c>
      <c r="E40" s="43" t="str">
        <f t="shared" si="0"/>
        <v>-</v>
      </c>
      <c r="F40" s="44">
        <f t="shared" si="1"/>
        <v>1</v>
      </c>
    </row>
    <row r="41" spans="1:6" ht="28.5" customHeight="1" x14ac:dyDescent="0.2">
      <c r="A41" s="96" t="s">
        <v>19</v>
      </c>
      <c r="B41" s="20" t="s">
        <v>20</v>
      </c>
      <c r="C41" s="36">
        <v>6904</v>
      </c>
      <c r="D41" s="38">
        <f t="shared" ref="D41:D59" si="3">C41</f>
        <v>6904</v>
      </c>
      <c r="E41" s="43" t="str">
        <f t="shared" si="0"/>
        <v>-</v>
      </c>
      <c r="F41" s="44">
        <f t="shared" si="1"/>
        <v>1</v>
      </c>
    </row>
    <row r="42" spans="1:6" ht="28.5" customHeight="1" x14ac:dyDescent="0.2">
      <c r="A42" s="96" t="s">
        <v>21</v>
      </c>
      <c r="B42" s="21" t="s">
        <v>229</v>
      </c>
      <c r="C42" s="38">
        <f>C43+C45+C46+C47+C48+C49</f>
        <v>554</v>
      </c>
      <c r="D42" s="38">
        <f>D43+D45+D46+D47+D48+D49</f>
        <v>554</v>
      </c>
      <c r="E42" s="43" t="str">
        <f t="shared" si="0"/>
        <v>-</v>
      </c>
      <c r="F42" s="44">
        <f t="shared" si="1"/>
        <v>1</v>
      </c>
    </row>
    <row r="43" spans="1:6" ht="28.5" customHeight="1" x14ac:dyDescent="0.2">
      <c r="A43" s="99" t="s">
        <v>39</v>
      </c>
      <c r="B43" s="90" t="s">
        <v>32</v>
      </c>
      <c r="C43" s="36">
        <v>52</v>
      </c>
      <c r="D43" s="38">
        <f t="shared" si="3"/>
        <v>52</v>
      </c>
      <c r="E43" s="43" t="str">
        <f t="shared" si="0"/>
        <v>-</v>
      </c>
      <c r="F43" s="44">
        <f t="shared" si="1"/>
        <v>1</v>
      </c>
    </row>
    <row r="44" spans="1:6" ht="28.5" customHeight="1" x14ac:dyDescent="0.2">
      <c r="A44" s="99" t="s">
        <v>40</v>
      </c>
      <c r="B44" s="91" t="s">
        <v>33</v>
      </c>
      <c r="C44" s="36">
        <v>52</v>
      </c>
      <c r="D44" s="38">
        <f t="shared" si="3"/>
        <v>52</v>
      </c>
      <c r="E44" s="43" t="str">
        <f t="shared" si="0"/>
        <v>-</v>
      </c>
      <c r="F44" s="44">
        <f t="shared" si="1"/>
        <v>1</v>
      </c>
    </row>
    <row r="45" spans="1:6" ht="28.5" customHeight="1" x14ac:dyDescent="0.2">
      <c r="A45" s="99" t="s">
        <v>41</v>
      </c>
      <c r="B45" s="90" t="s">
        <v>34</v>
      </c>
      <c r="C45" s="36">
        <v>240</v>
      </c>
      <c r="D45" s="38">
        <f t="shared" si="3"/>
        <v>240</v>
      </c>
      <c r="E45" s="43" t="str">
        <f t="shared" si="0"/>
        <v>-</v>
      </c>
      <c r="F45" s="44">
        <f t="shared" si="1"/>
        <v>1</v>
      </c>
    </row>
    <row r="46" spans="1:6" ht="28.5" customHeight="1" x14ac:dyDescent="0.2">
      <c r="A46" s="99" t="s">
        <v>42</v>
      </c>
      <c r="B46" s="90" t="s">
        <v>35</v>
      </c>
      <c r="C46" s="36">
        <v>0</v>
      </c>
      <c r="D46" s="38">
        <f t="shared" si="3"/>
        <v>0</v>
      </c>
      <c r="E46" s="43" t="str">
        <f t="shared" si="0"/>
        <v>-</v>
      </c>
      <c r="F46" s="44" t="str">
        <f t="shared" si="1"/>
        <v>-</v>
      </c>
    </row>
    <row r="47" spans="1:6" ht="28.5" customHeight="1" x14ac:dyDescent="0.2">
      <c r="A47" s="99" t="s">
        <v>43</v>
      </c>
      <c r="B47" s="90" t="s">
        <v>36</v>
      </c>
      <c r="C47" s="36">
        <v>0</v>
      </c>
      <c r="D47" s="38">
        <f t="shared" si="3"/>
        <v>0</v>
      </c>
      <c r="E47" s="43" t="str">
        <f t="shared" si="0"/>
        <v>-</v>
      </c>
      <c r="F47" s="44" t="str">
        <f t="shared" si="1"/>
        <v>-</v>
      </c>
    </row>
    <row r="48" spans="1:6" ht="28.5" customHeight="1" x14ac:dyDescent="0.2">
      <c r="A48" s="99" t="s">
        <v>44</v>
      </c>
      <c r="B48" s="90" t="s">
        <v>37</v>
      </c>
      <c r="C48" s="36">
        <v>256</v>
      </c>
      <c r="D48" s="38">
        <f t="shared" si="3"/>
        <v>256</v>
      </c>
      <c r="E48" s="43" t="str">
        <f t="shared" si="0"/>
        <v>-</v>
      </c>
      <c r="F48" s="44">
        <f t="shared" si="1"/>
        <v>1</v>
      </c>
    </row>
    <row r="49" spans="1:6" ht="28.5" customHeight="1" x14ac:dyDescent="0.2">
      <c r="A49" s="99" t="s">
        <v>45</v>
      </c>
      <c r="B49" s="90" t="s">
        <v>38</v>
      </c>
      <c r="C49" s="36">
        <v>6</v>
      </c>
      <c r="D49" s="38">
        <f t="shared" si="3"/>
        <v>6</v>
      </c>
      <c r="E49" s="43" t="str">
        <f t="shared" si="0"/>
        <v>-</v>
      </c>
      <c r="F49" s="44">
        <f t="shared" si="1"/>
        <v>1</v>
      </c>
    </row>
    <row r="50" spans="1:6" ht="28.5" customHeight="1" x14ac:dyDescent="0.2">
      <c r="A50" s="96" t="s">
        <v>22</v>
      </c>
      <c r="B50" s="20" t="s">
        <v>159</v>
      </c>
      <c r="C50" s="36">
        <v>24414</v>
      </c>
      <c r="D50" s="38">
        <f t="shared" si="3"/>
        <v>24414</v>
      </c>
      <c r="E50" s="43" t="str">
        <f t="shared" si="0"/>
        <v>-</v>
      </c>
      <c r="F50" s="44">
        <f t="shared" si="1"/>
        <v>1</v>
      </c>
    </row>
    <row r="51" spans="1:6" ht="28.5" customHeight="1" x14ac:dyDescent="0.2">
      <c r="A51" s="99" t="s">
        <v>160</v>
      </c>
      <c r="B51" s="90" t="s">
        <v>161</v>
      </c>
      <c r="C51" s="36">
        <v>123</v>
      </c>
      <c r="D51" s="38">
        <f t="shared" si="3"/>
        <v>123</v>
      </c>
      <c r="E51" s="43" t="str">
        <f t="shared" si="0"/>
        <v>-</v>
      </c>
      <c r="F51" s="44">
        <f t="shared" si="1"/>
        <v>1</v>
      </c>
    </row>
    <row r="52" spans="1:6" ht="28.5" customHeight="1" x14ac:dyDescent="0.2">
      <c r="A52" s="96" t="s">
        <v>23</v>
      </c>
      <c r="B52" s="21" t="s">
        <v>227</v>
      </c>
      <c r="C52" s="34">
        <f>C53+C54+C55+C56</f>
        <v>5481</v>
      </c>
      <c r="D52" s="34">
        <f>D53+D54+D55+D56</f>
        <v>5481</v>
      </c>
      <c r="E52" s="43" t="str">
        <f t="shared" si="0"/>
        <v>-</v>
      </c>
      <c r="F52" s="44">
        <f t="shared" si="1"/>
        <v>1</v>
      </c>
    </row>
    <row r="53" spans="1:6" ht="28.5" customHeight="1" x14ac:dyDescent="0.2">
      <c r="A53" s="99" t="s">
        <v>50</v>
      </c>
      <c r="B53" s="90" t="s">
        <v>46</v>
      </c>
      <c r="C53" s="36">
        <v>4191</v>
      </c>
      <c r="D53" s="38">
        <f t="shared" si="3"/>
        <v>4191</v>
      </c>
      <c r="E53" s="43" t="str">
        <f t="shared" si="0"/>
        <v>-</v>
      </c>
      <c r="F53" s="44">
        <f t="shared" si="1"/>
        <v>1</v>
      </c>
    </row>
    <row r="54" spans="1:6" ht="28.5" customHeight="1" x14ac:dyDescent="0.2">
      <c r="A54" s="99" t="s">
        <v>51</v>
      </c>
      <c r="B54" s="90" t="s">
        <v>47</v>
      </c>
      <c r="C54" s="36">
        <v>597</v>
      </c>
      <c r="D54" s="38">
        <f t="shared" si="3"/>
        <v>597</v>
      </c>
      <c r="E54" s="43" t="str">
        <f t="shared" si="0"/>
        <v>-</v>
      </c>
      <c r="F54" s="44">
        <f t="shared" si="1"/>
        <v>1</v>
      </c>
    </row>
    <row r="55" spans="1:6" ht="28.5" customHeight="1" x14ac:dyDescent="0.2">
      <c r="A55" s="99" t="s">
        <v>52</v>
      </c>
      <c r="B55" s="90" t="s">
        <v>48</v>
      </c>
      <c r="C55" s="36">
        <v>0</v>
      </c>
      <c r="D55" s="38">
        <f t="shared" si="3"/>
        <v>0</v>
      </c>
      <c r="E55" s="43" t="str">
        <f t="shared" si="0"/>
        <v>-</v>
      </c>
      <c r="F55" s="44" t="str">
        <f t="shared" si="1"/>
        <v>-</v>
      </c>
    </row>
    <row r="56" spans="1:6" ht="28.5" customHeight="1" x14ac:dyDescent="0.2">
      <c r="A56" s="99" t="s">
        <v>53</v>
      </c>
      <c r="B56" s="90" t="s">
        <v>49</v>
      </c>
      <c r="C56" s="36">
        <v>693</v>
      </c>
      <c r="D56" s="38">
        <f t="shared" si="3"/>
        <v>693</v>
      </c>
      <c r="E56" s="43" t="str">
        <f t="shared" si="0"/>
        <v>-</v>
      </c>
      <c r="F56" s="44">
        <f t="shared" si="1"/>
        <v>1</v>
      </c>
    </row>
    <row r="57" spans="1:6" ht="28.5" customHeight="1" x14ac:dyDescent="0.2">
      <c r="A57" s="96" t="s">
        <v>24</v>
      </c>
      <c r="B57" s="20" t="s">
        <v>25</v>
      </c>
      <c r="C57" s="36">
        <v>0</v>
      </c>
      <c r="D57" s="38">
        <f t="shared" si="3"/>
        <v>0</v>
      </c>
      <c r="E57" s="43" t="str">
        <f t="shared" si="0"/>
        <v>-</v>
      </c>
      <c r="F57" s="44" t="str">
        <f t="shared" si="1"/>
        <v>-</v>
      </c>
    </row>
    <row r="58" spans="1:6" ht="28.5" customHeight="1" x14ac:dyDescent="0.2">
      <c r="A58" s="96" t="s">
        <v>26</v>
      </c>
      <c r="B58" s="20" t="s">
        <v>162</v>
      </c>
      <c r="C58" s="36">
        <v>4000</v>
      </c>
      <c r="D58" s="38">
        <f t="shared" si="3"/>
        <v>4000</v>
      </c>
      <c r="E58" s="43" t="str">
        <f t="shared" si="0"/>
        <v>-</v>
      </c>
      <c r="F58" s="46">
        <f t="shared" si="1"/>
        <v>1</v>
      </c>
    </row>
    <row r="59" spans="1:6" ht="28.5" customHeight="1" x14ac:dyDescent="0.2">
      <c r="A59" s="96" t="s">
        <v>27</v>
      </c>
      <c r="B59" s="20" t="s">
        <v>28</v>
      </c>
      <c r="C59" s="36">
        <v>518</v>
      </c>
      <c r="D59" s="38">
        <f t="shared" si="3"/>
        <v>518</v>
      </c>
      <c r="E59" s="43" t="str">
        <f t="shared" si="0"/>
        <v>-</v>
      </c>
      <c r="F59" s="44">
        <f t="shared" si="1"/>
        <v>1</v>
      </c>
    </row>
    <row r="60" spans="1:6" ht="30" customHeight="1" x14ac:dyDescent="0.2">
      <c r="A60" s="142" t="s">
        <v>135</v>
      </c>
      <c r="B60" s="143" t="s">
        <v>163</v>
      </c>
      <c r="C60" s="154">
        <f>C61+C62+C63+C64</f>
        <v>21250</v>
      </c>
      <c r="D60" s="154">
        <f>D61+D62+D63+D64</f>
        <v>21250</v>
      </c>
      <c r="E60" s="131" t="str">
        <f t="shared" si="0"/>
        <v>-</v>
      </c>
      <c r="F60" s="155">
        <f t="shared" si="1"/>
        <v>1</v>
      </c>
    </row>
    <row r="61" spans="1:6" ht="42" customHeight="1" x14ac:dyDescent="0.2">
      <c r="A61" s="96" t="s">
        <v>101</v>
      </c>
      <c r="B61" s="20" t="s">
        <v>115</v>
      </c>
      <c r="C61" s="36">
        <v>50</v>
      </c>
      <c r="D61" s="38">
        <f>C61</f>
        <v>50</v>
      </c>
      <c r="E61" s="34" t="str">
        <f t="shared" si="0"/>
        <v>-</v>
      </c>
      <c r="F61" s="44">
        <f t="shared" si="1"/>
        <v>1</v>
      </c>
    </row>
    <row r="62" spans="1:6" ht="31.5" customHeight="1" x14ac:dyDescent="0.2">
      <c r="A62" s="96" t="s">
        <v>30</v>
      </c>
      <c r="B62" s="20" t="s">
        <v>55</v>
      </c>
      <c r="C62" s="36">
        <v>20000</v>
      </c>
      <c r="D62" s="38">
        <f>C62</f>
        <v>20000</v>
      </c>
      <c r="E62" s="34" t="str">
        <f t="shared" si="0"/>
        <v>-</v>
      </c>
      <c r="F62" s="44">
        <f t="shared" si="1"/>
        <v>1</v>
      </c>
    </row>
    <row r="63" spans="1:6" ht="31.5" customHeight="1" x14ac:dyDescent="0.2">
      <c r="A63" s="96" t="s">
        <v>31</v>
      </c>
      <c r="B63" s="20" t="s">
        <v>103</v>
      </c>
      <c r="C63" s="36">
        <v>0</v>
      </c>
      <c r="D63" s="38">
        <f>C63</f>
        <v>0</v>
      </c>
      <c r="E63" s="34" t="str">
        <f t="shared" si="0"/>
        <v>-</v>
      </c>
      <c r="F63" s="44" t="str">
        <f t="shared" si="1"/>
        <v>-</v>
      </c>
    </row>
    <row r="64" spans="1:6" ht="31.5" customHeight="1" x14ac:dyDescent="0.2">
      <c r="A64" s="96" t="s">
        <v>102</v>
      </c>
      <c r="B64" s="20" t="s">
        <v>104</v>
      </c>
      <c r="C64" s="36">
        <v>1200</v>
      </c>
      <c r="D64" s="38">
        <f>C64</f>
        <v>1200</v>
      </c>
      <c r="E64" s="34" t="str">
        <f t="shared" si="0"/>
        <v>-</v>
      </c>
      <c r="F64" s="44">
        <f t="shared" si="1"/>
        <v>1</v>
      </c>
    </row>
    <row r="65" spans="1:6" ht="32.25" customHeight="1" x14ac:dyDescent="0.2">
      <c r="A65" s="142" t="s">
        <v>137</v>
      </c>
      <c r="B65" s="143" t="s">
        <v>116</v>
      </c>
      <c r="C65" s="154">
        <v>3200</v>
      </c>
      <c r="D65" s="154">
        <f>C65</f>
        <v>3200</v>
      </c>
      <c r="E65" s="131" t="str">
        <f t="shared" si="0"/>
        <v>-</v>
      </c>
      <c r="F65" s="155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13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5.7109375" style="2" customWidth="1"/>
    <col min="4" max="4" width="26.85546875" style="2" customWidth="1"/>
    <col min="5" max="5" width="25.140625" style="2" customWidth="1"/>
    <col min="6" max="6" width="20.7109375" style="2" customWidth="1"/>
    <col min="7" max="16384" width="9.140625" style="2"/>
  </cols>
  <sheetData>
    <row r="1" spans="1:6" s="24" customFormat="1" ht="46.5" customHeight="1" x14ac:dyDescent="0.2">
      <c r="A1" s="160" t="str">
        <f>NFZ!A1</f>
        <v>ZMIANA PLANU FINANSOWEGO NARODOWEGO FUNDUSZU ZDROWIA NA 2017 ROK Z DNIA 18 LIPCA 2017 R.</v>
      </c>
      <c r="B1" s="160"/>
      <c r="C1" s="160"/>
      <c r="D1" s="160"/>
      <c r="E1" s="160"/>
      <c r="F1" s="160"/>
    </row>
    <row r="2" spans="1:6" s="26" customFormat="1" ht="33" customHeight="1" x14ac:dyDescent="0.2">
      <c r="A2" s="115" t="s">
        <v>76</v>
      </c>
      <c r="B2" s="115"/>
      <c r="C2" s="116"/>
    </row>
    <row r="3" spans="1:6" ht="33" customHeight="1" x14ac:dyDescent="0.25">
      <c r="A3" s="5"/>
      <c r="B3" s="6"/>
      <c r="C3" s="40"/>
      <c r="D3" s="40"/>
      <c r="E3" s="40" t="s">
        <v>141</v>
      </c>
      <c r="F3" s="7"/>
    </row>
    <row r="4" spans="1:6" s="117" customFormat="1" ht="65.099999999999994" customHeight="1" x14ac:dyDescent="0.2">
      <c r="A4" s="124" t="s">
        <v>118</v>
      </c>
      <c r="B4" s="124" t="s">
        <v>54</v>
      </c>
      <c r="C4" s="125" t="s">
        <v>230</v>
      </c>
      <c r="D4" s="125" t="s">
        <v>171</v>
      </c>
      <c r="E4" s="126" t="s">
        <v>172</v>
      </c>
      <c r="F4" s="126" t="s">
        <v>173</v>
      </c>
    </row>
    <row r="5" spans="1:6" s="118" customFormat="1" ht="14.25" x14ac:dyDescent="0.2">
      <c r="A5" s="127">
        <v>1</v>
      </c>
      <c r="B5" s="128">
        <v>2</v>
      </c>
      <c r="C5" s="127">
        <v>3</v>
      </c>
      <c r="D5" s="128">
        <v>4</v>
      </c>
      <c r="E5" s="127">
        <v>5</v>
      </c>
      <c r="F5" s="128">
        <v>6</v>
      </c>
    </row>
    <row r="6" spans="1:6" ht="30" customHeight="1" x14ac:dyDescent="0.2">
      <c r="A6" s="101" t="s">
        <v>0</v>
      </c>
      <c r="B6" s="73" t="s">
        <v>232</v>
      </c>
      <c r="C6" s="150">
        <f>C7+C8+C9+C14+C15+C16+C17+C18+C19+C20+C21+C22+C23+C24+C28+C29+C31+C32+C33+C34</f>
        <v>3136943</v>
      </c>
      <c r="D6" s="150">
        <f>D7+D8+D9+D14+D15+D16+D17+D18+D19+D20+D21+D22+D23+D24+D28+D29+D31+D32+D33+D34</f>
        <v>3199198</v>
      </c>
      <c r="E6" s="131">
        <f>IF(C6=D6,"-",D6-C6)</f>
        <v>62255</v>
      </c>
      <c r="F6" s="148">
        <f>IF(C6=0,"-",D6/C6)</f>
        <v>1.0198</v>
      </c>
    </row>
    <row r="7" spans="1:6" ht="33" customHeight="1" x14ac:dyDescent="0.2">
      <c r="A7" s="93" t="s">
        <v>1</v>
      </c>
      <c r="B7" s="15" t="s">
        <v>119</v>
      </c>
      <c r="C7" s="36">
        <v>437285</v>
      </c>
      <c r="D7" s="14">
        <f>C7+2000</f>
        <v>439285</v>
      </c>
      <c r="E7" s="43">
        <f t="shared" ref="E7:E65" si="0">IF(C7=D7,"-",D7-C7)</f>
        <v>2000</v>
      </c>
      <c r="F7" s="44">
        <f t="shared" ref="F7:F65" si="1">IF(C7=0,"-",D7/C7)</f>
        <v>1.0045999999999999</v>
      </c>
    </row>
    <row r="8" spans="1:6" ht="33" customHeight="1" x14ac:dyDescent="0.2">
      <c r="A8" s="93" t="s">
        <v>2</v>
      </c>
      <c r="B8" s="15" t="s">
        <v>120</v>
      </c>
      <c r="C8" s="36">
        <v>274939</v>
      </c>
      <c r="D8" s="14">
        <f>C8</f>
        <v>274939</v>
      </c>
      <c r="E8" s="43" t="str">
        <f t="shared" si="0"/>
        <v>-</v>
      </c>
      <c r="F8" s="44">
        <f t="shared" si="1"/>
        <v>1</v>
      </c>
    </row>
    <row r="9" spans="1:6" ht="33" customHeight="1" x14ac:dyDescent="0.2">
      <c r="A9" s="93" t="s">
        <v>3</v>
      </c>
      <c r="B9" s="15" t="s">
        <v>117</v>
      </c>
      <c r="C9" s="36">
        <v>1516708</v>
      </c>
      <c r="D9" s="14">
        <f>C9+47755</f>
        <v>1564463</v>
      </c>
      <c r="E9" s="43">
        <f t="shared" si="0"/>
        <v>47755</v>
      </c>
      <c r="F9" s="44">
        <f t="shared" si="1"/>
        <v>1.0315000000000001</v>
      </c>
    </row>
    <row r="10" spans="1:6" ht="31.5" customHeight="1" x14ac:dyDescent="0.2">
      <c r="A10" s="94" t="s">
        <v>56</v>
      </c>
      <c r="B10" s="89" t="s">
        <v>142</v>
      </c>
      <c r="C10" s="36">
        <v>126003</v>
      </c>
      <c r="D10" s="14">
        <f t="shared" ref="D10:D34" si="2">C10</f>
        <v>126003</v>
      </c>
      <c r="E10" s="43" t="str">
        <f t="shared" si="0"/>
        <v>-</v>
      </c>
      <c r="F10" s="44">
        <f t="shared" si="1"/>
        <v>1</v>
      </c>
    </row>
    <row r="11" spans="1:6" ht="31.5" customHeight="1" x14ac:dyDescent="0.2">
      <c r="A11" s="94" t="s">
        <v>143</v>
      </c>
      <c r="B11" s="89" t="s">
        <v>146</v>
      </c>
      <c r="C11" s="36">
        <v>114583</v>
      </c>
      <c r="D11" s="14">
        <f t="shared" si="2"/>
        <v>114583</v>
      </c>
      <c r="E11" s="43" t="str">
        <f t="shared" si="0"/>
        <v>-</v>
      </c>
      <c r="F11" s="44">
        <f t="shared" si="1"/>
        <v>1</v>
      </c>
    </row>
    <row r="12" spans="1:6" ht="31.5" customHeight="1" x14ac:dyDescent="0.2">
      <c r="A12" s="94" t="s">
        <v>144</v>
      </c>
      <c r="B12" s="89" t="s">
        <v>147</v>
      </c>
      <c r="C12" s="36">
        <v>60369</v>
      </c>
      <c r="D12" s="14">
        <f t="shared" si="2"/>
        <v>60369</v>
      </c>
      <c r="E12" s="43" t="str">
        <f t="shared" si="0"/>
        <v>-</v>
      </c>
      <c r="F12" s="44">
        <f t="shared" si="1"/>
        <v>1</v>
      </c>
    </row>
    <row r="13" spans="1:6" ht="31.5" customHeight="1" x14ac:dyDescent="0.2">
      <c r="A13" s="94" t="s">
        <v>145</v>
      </c>
      <c r="B13" s="89" t="s">
        <v>148</v>
      </c>
      <c r="C13" s="36">
        <v>26990</v>
      </c>
      <c r="D13" s="14">
        <f t="shared" si="2"/>
        <v>26990</v>
      </c>
      <c r="E13" s="43" t="str">
        <f t="shared" si="0"/>
        <v>-</v>
      </c>
      <c r="F13" s="44">
        <f t="shared" si="1"/>
        <v>1</v>
      </c>
    </row>
    <row r="14" spans="1:6" ht="33" customHeight="1" x14ac:dyDescent="0.2">
      <c r="A14" s="93" t="s">
        <v>4</v>
      </c>
      <c r="B14" s="15" t="s">
        <v>125</v>
      </c>
      <c r="C14" s="36">
        <v>102252</v>
      </c>
      <c r="D14" s="14">
        <f>C14+500</f>
        <v>102752</v>
      </c>
      <c r="E14" s="43">
        <f t="shared" si="0"/>
        <v>500</v>
      </c>
      <c r="F14" s="44">
        <f t="shared" si="1"/>
        <v>1.0048999999999999</v>
      </c>
    </row>
    <row r="15" spans="1:6" ht="33" customHeight="1" x14ac:dyDescent="0.2">
      <c r="A15" s="93" t="s">
        <v>5</v>
      </c>
      <c r="B15" s="15" t="s">
        <v>121</v>
      </c>
      <c r="C15" s="36">
        <v>77979</v>
      </c>
      <c r="D15" s="14">
        <f t="shared" si="2"/>
        <v>77979</v>
      </c>
      <c r="E15" s="43" t="str">
        <f t="shared" si="0"/>
        <v>-</v>
      </c>
      <c r="F15" s="44">
        <f t="shared" si="1"/>
        <v>1</v>
      </c>
    </row>
    <row r="16" spans="1:6" ht="33" customHeight="1" x14ac:dyDescent="0.2">
      <c r="A16" s="93" t="s">
        <v>6</v>
      </c>
      <c r="B16" s="15" t="s">
        <v>127</v>
      </c>
      <c r="C16" s="36">
        <v>45776</v>
      </c>
      <c r="D16" s="14">
        <f>C16+1000</f>
        <v>46776</v>
      </c>
      <c r="E16" s="43">
        <f t="shared" si="0"/>
        <v>1000</v>
      </c>
      <c r="F16" s="44">
        <f t="shared" si="1"/>
        <v>1.0218</v>
      </c>
    </row>
    <row r="17" spans="1:6" ht="33" customHeight="1" x14ac:dyDescent="0.2">
      <c r="A17" s="93" t="s">
        <v>7</v>
      </c>
      <c r="B17" s="15" t="s">
        <v>126</v>
      </c>
      <c r="C17" s="36">
        <v>16261</v>
      </c>
      <c r="D17" s="14">
        <f>C17+1000</f>
        <v>17261</v>
      </c>
      <c r="E17" s="43">
        <f t="shared" si="0"/>
        <v>1000</v>
      </c>
      <c r="F17" s="44">
        <f t="shared" si="1"/>
        <v>1.0615000000000001</v>
      </c>
    </row>
    <row r="18" spans="1:6" ht="33" customHeight="1" x14ac:dyDescent="0.2">
      <c r="A18" s="93" t="s">
        <v>8</v>
      </c>
      <c r="B18" s="15" t="s">
        <v>122</v>
      </c>
      <c r="C18" s="36">
        <v>87579</v>
      </c>
      <c r="D18" s="14">
        <f t="shared" si="2"/>
        <v>87579</v>
      </c>
      <c r="E18" s="43" t="str">
        <f t="shared" si="0"/>
        <v>-</v>
      </c>
      <c r="F18" s="44">
        <f t="shared" si="1"/>
        <v>1</v>
      </c>
    </row>
    <row r="19" spans="1:6" ht="33" customHeight="1" x14ac:dyDescent="0.2">
      <c r="A19" s="93" t="s">
        <v>9</v>
      </c>
      <c r="B19" s="15" t="s">
        <v>123</v>
      </c>
      <c r="C19" s="36">
        <v>27064</v>
      </c>
      <c r="D19" s="14">
        <f>C19+500</f>
        <v>27564</v>
      </c>
      <c r="E19" s="43">
        <f t="shared" si="0"/>
        <v>500</v>
      </c>
      <c r="F19" s="44">
        <f t="shared" si="1"/>
        <v>1.0185</v>
      </c>
    </row>
    <row r="20" spans="1:6" ht="33" customHeight="1" x14ac:dyDescent="0.2">
      <c r="A20" s="93" t="s">
        <v>10</v>
      </c>
      <c r="B20" s="15" t="s">
        <v>128</v>
      </c>
      <c r="C20" s="36">
        <v>2472</v>
      </c>
      <c r="D20" s="14">
        <f t="shared" si="2"/>
        <v>2472</v>
      </c>
      <c r="E20" s="43" t="str">
        <f t="shared" si="0"/>
        <v>-</v>
      </c>
      <c r="F20" s="44">
        <f t="shared" si="1"/>
        <v>1</v>
      </c>
    </row>
    <row r="21" spans="1:6" ht="46.5" customHeight="1" x14ac:dyDescent="0.2">
      <c r="A21" s="93" t="s">
        <v>11</v>
      </c>
      <c r="B21" s="15" t="s">
        <v>124</v>
      </c>
      <c r="C21" s="36">
        <v>9937</v>
      </c>
      <c r="D21" s="14">
        <f t="shared" si="2"/>
        <v>9937</v>
      </c>
      <c r="E21" s="43" t="str">
        <f t="shared" si="0"/>
        <v>-</v>
      </c>
      <c r="F21" s="44">
        <f t="shared" si="1"/>
        <v>1</v>
      </c>
    </row>
    <row r="22" spans="1:6" ht="33" customHeight="1" x14ac:dyDescent="0.2">
      <c r="A22" s="93" t="s">
        <v>12</v>
      </c>
      <c r="B22" s="15" t="s">
        <v>165</v>
      </c>
      <c r="C22" s="36">
        <v>126093</v>
      </c>
      <c r="D22" s="14">
        <f>C22+2000</f>
        <v>128093</v>
      </c>
      <c r="E22" s="43">
        <f t="shared" si="0"/>
        <v>2000</v>
      </c>
      <c r="F22" s="44">
        <f t="shared" si="1"/>
        <v>1.0159</v>
      </c>
    </row>
    <row r="23" spans="1:6" ht="33" customHeight="1" x14ac:dyDescent="0.2">
      <c r="A23" s="93" t="s">
        <v>13</v>
      </c>
      <c r="B23" s="15" t="s">
        <v>149</v>
      </c>
      <c r="C23" s="36">
        <v>41800</v>
      </c>
      <c r="D23" s="14">
        <f>C23+500</f>
        <v>42300</v>
      </c>
      <c r="E23" s="43">
        <f t="shared" si="0"/>
        <v>500</v>
      </c>
      <c r="F23" s="44">
        <f t="shared" si="1"/>
        <v>1.012</v>
      </c>
    </row>
    <row r="24" spans="1:6" ht="33" customHeight="1" x14ac:dyDescent="0.2">
      <c r="A24" s="95" t="s">
        <v>14</v>
      </c>
      <c r="B24" s="35" t="s">
        <v>222</v>
      </c>
      <c r="C24" s="36">
        <v>362624</v>
      </c>
      <c r="D24" s="36">
        <f>SUM(D25:D27)</f>
        <v>362624</v>
      </c>
      <c r="E24" s="43" t="str">
        <f t="shared" si="0"/>
        <v>-</v>
      </c>
      <c r="F24" s="44">
        <f t="shared" si="1"/>
        <v>1</v>
      </c>
    </row>
    <row r="25" spans="1:6" ht="37.5" x14ac:dyDescent="0.2">
      <c r="A25" s="94" t="s">
        <v>129</v>
      </c>
      <c r="B25" s="89" t="s">
        <v>151</v>
      </c>
      <c r="C25" s="36">
        <v>361864</v>
      </c>
      <c r="D25" s="14">
        <f>C25</f>
        <v>361864</v>
      </c>
      <c r="E25" s="43" t="str">
        <f t="shared" si="0"/>
        <v>-</v>
      </c>
      <c r="F25" s="44">
        <f t="shared" si="1"/>
        <v>1</v>
      </c>
    </row>
    <row r="26" spans="1:6" ht="31.5" customHeight="1" x14ac:dyDescent="0.2">
      <c r="A26" s="94" t="s">
        <v>150</v>
      </c>
      <c r="B26" s="89" t="s">
        <v>153</v>
      </c>
      <c r="C26" s="36">
        <v>410</v>
      </c>
      <c r="D26" s="14">
        <f t="shared" si="2"/>
        <v>410</v>
      </c>
      <c r="E26" s="43" t="str">
        <f t="shared" si="0"/>
        <v>-</v>
      </c>
      <c r="F26" s="44">
        <f t="shared" si="1"/>
        <v>1</v>
      </c>
    </row>
    <row r="27" spans="1:6" ht="37.5" x14ac:dyDescent="0.2">
      <c r="A27" s="94" t="s">
        <v>154</v>
      </c>
      <c r="B27" s="89" t="s">
        <v>152</v>
      </c>
      <c r="C27" s="36">
        <v>350</v>
      </c>
      <c r="D27" s="14">
        <f t="shared" si="2"/>
        <v>350</v>
      </c>
      <c r="E27" s="43" t="str">
        <f t="shared" si="0"/>
        <v>-</v>
      </c>
      <c r="F27" s="44">
        <f t="shared" si="1"/>
        <v>1</v>
      </c>
    </row>
    <row r="28" spans="1:6" ht="33" customHeight="1" x14ac:dyDescent="0.2">
      <c r="A28" s="96" t="s">
        <v>15</v>
      </c>
      <c r="B28" s="16" t="s">
        <v>113</v>
      </c>
      <c r="C28" s="36">
        <v>0</v>
      </c>
      <c r="D28" s="14">
        <f t="shared" si="2"/>
        <v>0</v>
      </c>
      <c r="E28" s="43" t="str">
        <f t="shared" si="0"/>
        <v>-</v>
      </c>
      <c r="F28" s="44" t="str">
        <f t="shared" si="1"/>
        <v>-</v>
      </c>
    </row>
    <row r="29" spans="1:6" ht="33" customHeight="1" x14ac:dyDescent="0.2">
      <c r="A29" s="96" t="s">
        <v>110</v>
      </c>
      <c r="B29" s="17" t="s">
        <v>155</v>
      </c>
      <c r="C29" s="36">
        <v>0</v>
      </c>
      <c r="D29" s="14">
        <f>C29+7000</f>
        <v>7000</v>
      </c>
      <c r="E29" s="43">
        <f t="shared" si="0"/>
        <v>7000</v>
      </c>
      <c r="F29" s="44" t="str">
        <f t="shared" si="1"/>
        <v>-</v>
      </c>
    </row>
    <row r="30" spans="1:6" ht="31.5" customHeight="1" x14ac:dyDescent="0.2">
      <c r="A30" s="94" t="s">
        <v>156</v>
      </c>
      <c r="B30" s="89" t="s">
        <v>167</v>
      </c>
      <c r="C30" s="36">
        <v>0</v>
      </c>
      <c r="D30" s="14">
        <f t="shared" si="2"/>
        <v>0</v>
      </c>
      <c r="E30" s="43" t="str">
        <f t="shared" si="0"/>
        <v>-</v>
      </c>
      <c r="F30" s="44" t="str">
        <f t="shared" si="1"/>
        <v>-</v>
      </c>
    </row>
    <row r="31" spans="1:6" ht="33" customHeight="1" x14ac:dyDescent="0.2">
      <c r="A31" s="96" t="s">
        <v>111</v>
      </c>
      <c r="B31" s="17" t="s">
        <v>114</v>
      </c>
      <c r="C31" s="36">
        <v>0</v>
      </c>
      <c r="D31" s="14">
        <f t="shared" si="2"/>
        <v>0</v>
      </c>
      <c r="E31" s="43" t="str">
        <f t="shared" si="0"/>
        <v>-</v>
      </c>
      <c r="F31" s="44" t="str">
        <f t="shared" si="1"/>
        <v>-</v>
      </c>
    </row>
    <row r="32" spans="1:6" ht="33" customHeight="1" x14ac:dyDescent="0.2">
      <c r="A32" s="96" t="s">
        <v>112</v>
      </c>
      <c r="B32" s="17" t="s">
        <v>166</v>
      </c>
      <c r="C32" s="36">
        <v>6174</v>
      </c>
      <c r="D32" s="14">
        <f t="shared" si="2"/>
        <v>6174</v>
      </c>
      <c r="E32" s="43" t="str">
        <f t="shared" si="0"/>
        <v>-</v>
      </c>
      <c r="F32" s="44">
        <f t="shared" si="1"/>
        <v>1</v>
      </c>
    </row>
    <row r="33" spans="1:6" ht="42.75" customHeight="1" x14ac:dyDescent="0.2">
      <c r="A33" s="96" t="s">
        <v>223</v>
      </c>
      <c r="B33" s="17" t="s">
        <v>224</v>
      </c>
      <c r="C33" s="36">
        <v>0</v>
      </c>
      <c r="D33" s="14">
        <f t="shared" si="2"/>
        <v>0</v>
      </c>
      <c r="E33" s="43" t="str">
        <f>IF(C33=D33,"-",D33-C33)</f>
        <v>-</v>
      </c>
      <c r="F33" s="44" t="str">
        <f>IF(C33=0,"-",D33/C33)</f>
        <v>-</v>
      </c>
    </row>
    <row r="34" spans="1:6" ht="33" customHeight="1" x14ac:dyDescent="0.2">
      <c r="A34" s="96" t="s">
        <v>233</v>
      </c>
      <c r="B34" s="17" t="s">
        <v>234</v>
      </c>
      <c r="C34" s="36">
        <v>2000</v>
      </c>
      <c r="D34" s="14">
        <f t="shared" si="2"/>
        <v>2000</v>
      </c>
      <c r="E34" s="43" t="str">
        <f>IF(C34=D34,"-",D34-C34)</f>
        <v>-</v>
      </c>
      <c r="F34" s="44">
        <f>IF(C34=0,"-",D34/C34)</f>
        <v>1</v>
      </c>
    </row>
    <row r="35" spans="1:6" s="3" customFormat="1" ht="31.5" customHeight="1" x14ac:dyDescent="0.2">
      <c r="A35" s="97" t="s">
        <v>58</v>
      </c>
      <c r="B35" s="18" t="s">
        <v>59</v>
      </c>
      <c r="C35" s="37">
        <v>0</v>
      </c>
      <c r="D35" s="42">
        <f>C35</f>
        <v>0</v>
      </c>
      <c r="E35" s="8" t="str">
        <f t="shared" si="0"/>
        <v>-</v>
      </c>
      <c r="F35" s="45" t="str">
        <f t="shared" si="1"/>
        <v>-</v>
      </c>
    </row>
    <row r="36" spans="1:6" s="3" customFormat="1" ht="31.5" customHeight="1" x14ac:dyDescent="0.2">
      <c r="A36" s="97" t="s">
        <v>57</v>
      </c>
      <c r="B36" s="18" t="s">
        <v>60</v>
      </c>
      <c r="C36" s="37">
        <v>104185</v>
      </c>
      <c r="D36" s="42">
        <f>C36</f>
        <v>104185</v>
      </c>
      <c r="E36" s="8" t="str">
        <f t="shared" si="0"/>
        <v>-</v>
      </c>
      <c r="F36" s="45">
        <f t="shared" si="1"/>
        <v>1</v>
      </c>
    </row>
    <row r="37" spans="1:6" s="3" customFormat="1" ht="40.5" x14ac:dyDescent="0.2">
      <c r="A37" s="97" t="s">
        <v>235</v>
      </c>
      <c r="B37" s="18" t="s">
        <v>236</v>
      </c>
      <c r="C37" s="37">
        <v>23032</v>
      </c>
      <c r="D37" s="42">
        <f>C37</f>
        <v>23032</v>
      </c>
      <c r="E37" s="8" t="str">
        <f t="shared" si="0"/>
        <v>-</v>
      </c>
      <c r="F37" s="45">
        <f t="shared" si="1"/>
        <v>1</v>
      </c>
    </row>
    <row r="38" spans="1:6" s="3" customFormat="1" ht="42.75" customHeight="1" x14ac:dyDescent="0.2">
      <c r="A38" s="97" t="s">
        <v>157</v>
      </c>
      <c r="B38" s="18" t="s">
        <v>158</v>
      </c>
      <c r="C38" s="37">
        <f>C11+C13+C24+C30</f>
        <v>504197</v>
      </c>
      <c r="D38" s="37">
        <f>D11+D13+D24+D30</f>
        <v>504197</v>
      </c>
      <c r="E38" s="8" t="str">
        <f t="shared" si="0"/>
        <v>-</v>
      </c>
      <c r="F38" s="45">
        <f t="shared" si="1"/>
        <v>1</v>
      </c>
    </row>
    <row r="39" spans="1:6" ht="30" customHeight="1" x14ac:dyDescent="0.2">
      <c r="A39" s="151" t="s">
        <v>16</v>
      </c>
      <c r="B39" s="152" t="s">
        <v>228</v>
      </c>
      <c r="C39" s="135">
        <f>C40+C41+C42+C50+C52+C58+C59+C57</f>
        <v>22803</v>
      </c>
      <c r="D39" s="135">
        <f>D40+D41+D42+D50+D52+D58+D59+D57</f>
        <v>22803</v>
      </c>
      <c r="E39" s="131" t="str">
        <f t="shared" si="0"/>
        <v>-</v>
      </c>
      <c r="F39" s="153">
        <f t="shared" si="1"/>
        <v>1</v>
      </c>
    </row>
    <row r="40" spans="1:6" ht="28.5" customHeight="1" x14ac:dyDescent="0.2">
      <c r="A40" s="96" t="s">
        <v>17</v>
      </c>
      <c r="B40" s="20" t="s">
        <v>18</v>
      </c>
      <c r="C40" s="36">
        <v>810</v>
      </c>
      <c r="D40" s="38">
        <f>C40</f>
        <v>810</v>
      </c>
      <c r="E40" s="43" t="str">
        <f t="shared" si="0"/>
        <v>-</v>
      </c>
      <c r="F40" s="44">
        <f t="shared" si="1"/>
        <v>1</v>
      </c>
    </row>
    <row r="41" spans="1:6" ht="28.5" customHeight="1" x14ac:dyDescent="0.2">
      <c r="A41" s="96" t="s">
        <v>19</v>
      </c>
      <c r="B41" s="20" t="s">
        <v>20</v>
      </c>
      <c r="C41" s="36">
        <v>2805</v>
      </c>
      <c r="D41" s="38">
        <f t="shared" ref="D41:D59" si="3">C41</f>
        <v>2805</v>
      </c>
      <c r="E41" s="43" t="str">
        <f t="shared" si="0"/>
        <v>-</v>
      </c>
      <c r="F41" s="44">
        <f t="shared" si="1"/>
        <v>1</v>
      </c>
    </row>
    <row r="42" spans="1:6" ht="28.5" customHeight="1" x14ac:dyDescent="0.2">
      <c r="A42" s="96" t="s">
        <v>21</v>
      </c>
      <c r="B42" s="21" t="s">
        <v>229</v>
      </c>
      <c r="C42" s="38">
        <f>C43+C45+C46+C47+C48+C49</f>
        <v>225</v>
      </c>
      <c r="D42" s="38">
        <f>D43+D45+D46+D47+D48+D49</f>
        <v>225</v>
      </c>
      <c r="E42" s="43" t="str">
        <f t="shared" si="0"/>
        <v>-</v>
      </c>
      <c r="F42" s="44">
        <f t="shared" si="1"/>
        <v>1</v>
      </c>
    </row>
    <row r="43" spans="1:6" ht="23.25" customHeight="1" x14ac:dyDescent="0.2">
      <c r="A43" s="99" t="s">
        <v>39</v>
      </c>
      <c r="B43" s="90" t="s">
        <v>32</v>
      </c>
      <c r="C43" s="36">
        <v>25</v>
      </c>
      <c r="D43" s="38">
        <f t="shared" si="3"/>
        <v>25</v>
      </c>
      <c r="E43" s="43" t="str">
        <f t="shared" si="0"/>
        <v>-</v>
      </c>
      <c r="F43" s="44">
        <f t="shared" si="1"/>
        <v>1</v>
      </c>
    </row>
    <row r="44" spans="1:6" ht="28.5" customHeight="1" x14ac:dyDescent="0.2">
      <c r="A44" s="99" t="s">
        <v>40</v>
      </c>
      <c r="B44" s="91" t="s">
        <v>33</v>
      </c>
      <c r="C44" s="36">
        <v>25</v>
      </c>
      <c r="D44" s="38">
        <f t="shared" si="3"/>
        <v>25</v>
      </c>
      <c r="E44" s="43" t="str">
        <f t="shared" si="0"/>
        <v>-</v>
      </c>
      <c r="F44" s="44">
        <f t="shared" si="1"/>
        <v>1</v>
      </c>
    </row>
    <row r="45" spans="1:6" ht="28.5" customHeight="1" x14ac:dyDescent="0.2">
      <c r="A45" s="99" t="s">
        <v>41</v>
      </c>
      <c r="B45" s="90" t="s">
        <v>34</v>
      </c>
      <c r="C45" s="36">
        <v>23</v>
      </c>
      <c r="D45" s="38">
        <f t="shared" si="3"/>
        <v>23</v>
      </c>
      <c r="E45" s="43" t="str">
        <f t="shared" si="0"/>
        <v>-</v>
      </c>
      <c r="F45" s="44">
        <f t="shared" si="1"/>
        <v>1</v>
      </c>
    </row>
    <row r="46" spans="1:6" ht="28.5" customHeight="1" x14ac:dyDescent="0.2">
      <c r="A46" s="99" t="s">
        <v>42</v>
      </c>
      <c r="B46" s="90" t="s">
        <v>35</v>
      </c>
      <c r="C46" s="36">
        <v>0</v>
      </c>
      <c r="D46" s="38">
        <f t="shared" si="3"/>
        <v>0</v>
      </c>
      <c r="E46" s="43" t="str">
        <f t="shared" si="0"/>
        <v>-</v>
      </c>
      <c r="F46" s="44" t="str">
        <f t="shared" si="1"/>
        <v>-</v>
      </c>
    </row>
    <row r="47" spans="1:6" ht="28.5" customHeight="1" x14ac:dyDescent="0.2">
      <c r="A47" s="99" t="s">
        <v>43</v>
      </c>
      <c r="B47" s="90" t="s">
        <v>36</v>
      </c>
      <c r="C47" s="36">
        <v>0</v>
      </c>
      <c r="D47" s="38">
        <f t="shared" si="3"/>
        <v>0</v>
      </c>
      <c r="E47" s="43" t="str">
        <f t="shared" si="0"/>
        <v>-</v>
      </c>
      <c r="F47" s="44" t="str">
        <f t="shared" si="1"/>
        <v>-</v>
      </c>
    </row>
    <row r="48" spans="1:6" ht="28.5" customHeight="1" x14ac:dyDescent="0.2">
      <c r="A48" s="99" t="s">
        <v>44</v>
      </c>
      <c r="B48" s="90" t="s">
        <v>37</v>
      </c>
      <c r="C48" s="36">
        <v>137</v>
      </c>
      <c r="D48" s="38">
        <f t="shared" si="3"/>
        <v>137</v>
      </c>
      <c r="E48" s="43" t="str">
        <f t="shared" si="0"/>
        <v>-</v>
      </c>
      <c r="F48" s="44">
        <f t="shared" si="1"/>
        <v>1</v>
      </c>
    </row>
    <row r="49" spans="1:6" ht="28.5" customHeight="1" x14ac:dyDescent="0.2">
      <c r="A49" s="99" t="s">
        <v>45</v>
      </c>
      <c r="B49" s="90" t="s">
        <v>38</v>
      </c>
      <c r="C49" s="36">
        <v>40</v>
      </c>
      <c r="D49" s="38">
        <f t="shared" si="3"/>
        <v>40</v>
      </c>
      <c r="E49" s="43" t="str">
        <f t="shared" si="0"/>
        <v>-</v>
      </c>
      <c r="F49" s="44">
        <f t="shared" si="1"/>
        <v>1</v>
      </c>
    </row>
    <row r="50" spans="1:6" ht="28.5" customHeight="1" x14ac:dyDescent="0.2">
      <c r="A50" s="96" t="s">
        <v>22</v>
      </c>
      <c r="B50" s="20" t="s">
        <v>159</v>
      </c>
      <c r="C50" s="36">
        <v>13741</v>
      </c>
      <c r="D50" s="38">
        <f t="shared" si="3"/>
        <v>13741</v>
      </c>
      <c r="E50" s="43" t="str">
        <f t="shared" si="0"/>
        <v>-</v>
      </c>
      <c r="F50" s="44">
        <f t="shared" si="1"/>
        <v>1</v>
      </c>
    </row>
    <row r="51" spans="1:6" ht="28.5" customHeight="1" x14ac:dyDescent="0.2">
      <c r="A51" s="99" t="s">
        <v>160</v>
      </c>
      <c r="B51" s="90" t="s">
        <v>161</v>
      </c>
      <c r="C51" s="36">
        <v>57</v>
      </c>
      <c r="D51" s="38">
        <f t="shared" si="3"/>
        <v>57</v>
      </c>
      <c r="E51" s="43" t="str">
        <f t="shared" si="0"/>
        <v>-</v>
      </c>
      <c r="F51" s="44">
        <f t="shared" si="1"/>
        <v>1</v>
      </c>
    </row>
    <row r="52" spans="1:6" ht="28.5" customHeight="1" x14ac:dyDescent="0.2">
      <c r="A52" s="96" t="s">
        <v>23</v>
      </c>
      <c r="B52" s="21" t="s">
        <v>227</v>
      </c>
      <c r="C52" s="34">
        <f>C53+C54+C55+C56</f>
        <v>3094</v>
      </c>
      <c r="D52" s="34">
        <f>D53+D54+D55+D56</f>
        <v>3094</v>
      </c>
      <c r="E52" s="43" t="str">
        <f t="shared" si="0"/>
        <v>-</v>
      </c>
      <c r="F52" s="44">
        <f t="shared" si="1"/>
        <v>1</v>
      </c>
    </row>
    <row r="53" spans="1:6" ht="28.5" customHeight="1" x14ac:dyDescent="0.2">
      <c r="A53" s="99" t="s">
        <v>50</v>
      </c>
      <c r="B53" s="90" t="s">
        <v>46</v>
      </c>
      <c r="C53" s="36">
        <v>2359</v>
      </c>
      <c r="D53" s="38">
        <f t="shared" si="3"/>
        <v>2359</v>
      </c>
      <c r="E53" s="43" t="str">
        <f t="shared" si="0"/>
        <v>-</v>
      </c>
      <c r="F53" s="44">
        <f t="shared" si="1"/>
        <v>1</v>
      </c>
    </row>
    <row r="54" spans="1:6" ht="28.5" customHeight="1" x14ac:dyDescent="0.2">
      <c r="A54" s="99" t="s">
        <v>51</v>
      </c>
      <c r="B54" s="90" t="s">
        <v>47</v>
      </c>
      <c r="C54" s="36">
        <v>337</v>
      </c>
      <c r="D54" s="38">
        <f t="shared" si="3"/>
        <v>337</v>
      </c>
      <c r="E54" s="43" t="str">
        <f t="shared" si="0"/>
        <v>-</v>
      </c>
      <c r="F54" s="44">
        <f t="shared" si="1"/>
        <v>1</v>
      </c>
    </row>
    <row r="55" spans="1:6" ht="28.5" customHeight="1" x14ac:dyDescent="0.2">
      <c r="A55" s="99" t="s">
        <v>52</v>
      </c>
      <c r="B55" s="90" t="s">
        <v>48</v>
      </c>
      <c r="C55" s="36">
        <v>0</v>
      </c>
      <c r="D55" s="38">
        <f t="shared" si="3"/>
        <v>0</v>
      </c>
      <c r="E55" s="43" t="str">
        <f t="shared" si="0"/>
        <v>-</v>
      </c>
      <c r="F55" s="44" t="str">
        <f t="shared" si="1"/>
        <v>-</v>
      </c>
    </row>
    <row r="56" spans="1:6" ht="28.5" customHeight="1" x14ac:dyDescent="0.2">
      <c r="A56" s="99" t="s">
        <v>53</v>
      </c>
      <c r="B56" s="90" t="s">
        <v>49</v>
      </c>
      <c r="C56" s="36">
        <v>398</v>
      </c>
      <c r="D56" s="38">
        <f t="shared" si="3"/>
        <v>398</v>
      </c>
      <c r="E56" s="43" t="str">
        <f t="shared" si="0"/>
        <v>-</v>
      </c>
      <c r="F56" s="44">
        <f t="shared" si="1"/>
        <v>1</v>
      </c>
    </row>
    <row r="57" spans="1:6" ht="28.5" customHeight="1" x14ac:dyDescent="0.2">
      <c r="A57" s="96" t="s">
        <v>24</v>
      </c>
      <c r="B57" s="20" t="s">
        <v>25</v>
      </c>
      <c r="C57" s="36">
        <v>0</v>
      </c>
      <c r="D57" s="38">
        <f t="shared" si="3"/>
        <v>0</v>
      </c>
      <c r="E57" s="43" t="str">
        <f t="shared" si="0"/>
        <v>-</v>
      </c>
      <c r="F57" s="44" t="str">
        <f t="shared" si="1"/>
        <v>-</v>
      </c>
    </row>
    <row r="58" spans="1:6" ht="28.5" customHeight="1" x14ac:dyDescent="0.2">
      <c r="A58" s="96" t="s">
        <v>26</v>
      </c>
      <c r="B58" s="20" t="s">
        <v>162</v>
      </c>
      <c r="C58" s="36">
        <v>1981</v>
      </c>
      <c r="D58" s="38">
        <f t="shared" si="3"/>
        <v>1981</v>
      </c>
      <c r="E58" s="43" t="str">
        <f t="shared" si="0"/>
        <v>-</v>
      </c>
      <c r="F58" s="46">
        <f t="shared" si="1"/>
        <v>1</v>
      </c>
    </row>
    <row r="59" spans="1:6" ht="28.5" customHeight="1" x14ac:dyDescent="0.2">
      <c r="A59" s="96" t="s">
        <v>27</v>
      </c>
      <c r="B59" s="20" t="s">
        <v>28</v>
      </c>
      <c r="C59" s="36">
        <v>147</v>
      </c>
      <c r="D59" s="38">
        <f t="shared" si="3"/>
        <v>147</v>
      </c>
      <c r="E59" s="43" t="str">
        <f t="shared" si="0"/>
        <v>-</v>
      </c>
      <c r="F59" s="44">
        <f t="shared" si="1"/>
        <v>1</v>
      </c>
    </row>
    <row r="60" spans="1:6" ht="30" customHeight="1" x14ac:dyDescent="0.2">
      <c r="A60" s="142" t="s">
        <v>135</v>
      </c>
      <c r="B60" s="143" t="s">
        <v>163</v>
      </c>
      <c r="C60" s="154">
        <f>C61+C62+C63+C64</f>
        <v>956</v>
      </c>
      <c r="D60" s="154">
        <f>D61+D62+D63+D64</f>
        <v>956</v>
      </c>
      <c r="E60" s="131" t="str">
        <f t="shared" si="0"/>
        <v>-</v>
      </c>
      <c r="F60" s="155">
        <f t="shared" si="1"/>
        <v>1</v>
      </c>
    </row>
    <row r="61" spans="1:6" ht="42" customHeight="1" x14ac:dyDescent="0.2">
      <c r="A61" s="96" t="s">
        <v>101</v>
      </c>
      <c r="B61" s="20" t="s">
        <v>115</v>
      </c>
      <c r="C61" s="36">
        <v>0</v>
      </c>
      <c r="D61" s="38">
        <f>C61</f>
        <v>0</v>
      </c>
      <c r="E61" s="34" t="str">
        <f t="shared" si="0"/>
        <v>-</v>
      </c>
      <c r="F61" s="44" t="str">
        <f t="shared" si="1"/>
        <v>-</v>
      </c>
    </row>
    <row r="62" spans="1:6" ht="31.5" customHeight="1" x14ac:dyDescent="0.2">
      <c r="A62" s="96" t="s">
        <v>30</v>
      </c>
      <c r="B62" s="20" t="s">
        <v>55</v>
      </c>
      <c r="C62" s="36">
        <v>0</v>
      </c>
      <c r="D62" s="38">
        <f>C62</f>
        <v>0</v>
      </c>
      <c r="E62" s="34" t="str">
        <f t="shared" si="0"/>
        <v>-</v>
      </c>
      <c r="F62" s="44" t="str">
        <f t="shared" si="1"/>
        <v>-</v>
      </c>
    </row>
    <row r="63" spans="1:6" ht="31.5" customHeight="1" x14ac:dyDescent="0.2">
      <c r="A63" s="96" t="s">
        <v>31</v>
      </c>
      <c r="B63" s="20" t="s">
        <v>103</v>
      </c>
      <c r="C63" s="36">
        <v>0</v>
      </c>
      <c r="D63" s="38">
        <f>C63</f>
        <v>0</v>
      </c>
      <c r="E63" s="34" t="str">
        <f t="shared" si="0"/>
        <v>-</v>
      </c>
      <c r="F63" s="44" t="str">
        <f t="shared" si="1"/>
        <v>-</v>
      </c>
    </row>
    <row r="64" spans="1:6" ht="31.5" customHeight="1" x14ac:dyDescent="0.2">
      <c r="A64" s="96" t="s">
        <v>102</v>
      </c>
      <c r="B64" s="20" t="s">
        <v>104</v>
      </c>
      <c r="C64" s="36">
        <v>956</v>
      </c>
      <c r="D64" s="38">
        <f>C64</f>
        <v>956</v>
      </c>
      <c r="E64" s="34" t="str">
        <f t="shared" si="0"/>
        <v>-</v>
      </c>
      <c r="F64" s="44">
        <f t="shared" si="1"/>
        <v>1</v>
      </c>
    </row>
    <row r="65" spans="1:6" ht="32.25" customHeight="1" x14ac:dyDescent="0.2">
      <c r="A65" s="142" t="s">
        <v>137</v>
      </c>
      <c r="B65" s="143" t="s">
        <v>116</v>
      </c>
      <c r="C65" s="154">
        <v>66</v>
      </c>
      <c r="D65" s="154">
        <f>C65</f>
        <v>66</v>
      </c>
      <c r="E65" s="131" t="str">
        <f t="shared" si="0"/>
        <v>-</v>
      </c>
      <c r="F65" s="155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71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5.7109375" style="2" customWidth="1"/>
    <col min="4" max="4" width="26.85546875" style="2" customWidth="1"/>
    <col min="5" max="5" width="25.140625" style="2" customWidth="1"/>
    <col min="6" max="6" width="20.7109375" style="2" customWidth="1"/>
    <col min="7" max="16384" width="9.140625" style="2"/>
  </cols>
  <sheetData>
    <row r="1" spans="1:6" s="24" customFormat="1" ht="46.5" customHeight="1" x14ac:dyDescent="0.2">
      <c r="A1" s="160" t="str">
        <f>NFZ!A1</f>
        <v>ZMIANA PLANU FINANSOWEGO NARODOWEGO FUNDUSZU ZDROWIA NA 2017 ROK Z DNIA 18 LIPCA 2017 R.</v>
      </c>
      <c r="B1" s="160"/>
      <c r="C1" s="160"/>
      <c r="D1" s="160"/>
      <c r="E1" s="160"/>
      <c r="F1" s="160"/>
    </row>
    <row r="2" spans="1:6" s="26" customFormat="1" ht="33" customHeight="1" x14ac:dyDescent="0.2">
      <c r="A2" s="115" t="s">
        <v>169</v>
      </c>
      <c r="B2" s="115"/>
      <c r="C2" s="116"/>
    </row>
    <row r="3" spans="1:6" ht="33" customHeight="1" x14ac:dyDescent="0.25">
      <c r="A3" s="5"/>
      <c r="B3" s="6"/>
      <c r="C3" s="40"/>
      <c r="D3" s="40"/>
      <c r="E3" s="40" t="s">
        <v>141</v>
      </c>
      <c r="F3" s="7"/>
    </row>
    <row r="4" spans="1:6" s="117" customFormat="1" ht="65.099999999999994" customHeight="1" x14ac:dyDescent="0.2">
      <c r="A4" s="124" t="s">
        <v>118</v>
      </c>
      <c r="B4" s="124" t="s">
        <v>54</v>
      </c>
      <c r="C4" s="125" t="s">
        <v>230</v>
      </c>
      <c r="D4" s="125" t="s">
        <v>171</v>
      </c>
      <c r="E4" s="126" t="s">
        <v>172</v>
      </c>
      <c r="F4" s="126" t="s">
        <v>173</v>
      </c>
    </row>
    <row r="5" spans="1:6" s="118" customFormat="1" ht="14.25" x14ac:dyDescent="0.2">
      <c r="A5" s="127">
        <v>1</v>
      </c>
      <c r="B5" s="128">
        <v>2</v>
      </c>
      <c r="C5" s="127">
        <v>3</v>
      </c>
      <c r="D5" s="128">
        <v>4</v>
      </c>
      <c r="E5" s="127">
        <v>5</v>
      </c>
      <c r="F5" s="128">
        <v>6</v>
      </c>
    </row>
    <row r="6" spans="1:6" ht="30" customHeight="1" x14ac:dyDescent="0.2">
      <c r="A6" s="101" t="s">
        <v>0</v>
      </c>
      <c r="B6" s="73" t="s">
        <v>232</v>
      </c>
      <c r="C6" s="150">
        <f>C7+C8+C9+C14+C15+C16+C17+C18+C19+C20+C21+C22+C23+C24+C28+C29+C31+C32+C33+C34</f>
        <v>1084410</v>
      </c>
      <c r="D6" s="150">
        <f>D7+D8+D9+D14+D15+D16+D17+D18+D19+D20+D21+D22+D23+D24+D28+D29+D31+D32+D33+D34</f>
        <v>595092</v>
      </c>
      <c r="E6" s="131">
        <f>IF(C6=D6,"-",D6-C6)</f>
        <v>-489318</v>
      </c>
      <c r="F6" s="148">
        <f>IF(C6=0,"-",D6/C6)</f>
        <v>0.54879999999999995</v>
      </c>
    </row>
    <row r="7" spans="1:6" ht="33" customHeight="1" x14ac:dyDescent="0.2">
      <c r="A7" s="93" t="s">
        <v>1</v>
      </c>
      <c r="B7" s="15" t="s">
        <v>119</v>
      </c>
      <c r="C7" s="36">
        <v>0</v>
      </c>
      <c r="D7" s="14">
        <f>C7</f>
        <v>0</v>
      </c>
      <c r="E7" s="43" t="str">
        <f t="shared" ref="E7:E65" si="0">IF(C7=D7,"-",D7-C7)</f>
        <v>-</v>
      </c>
      <c r="F7" s="44" t="str">
        <f t="shared" ref="F7:F65" si="1">IF(C7=0,"-",D7/C7)</f>
        <v>-</v>
      </c>
    </row>
    <row r="8" spans="1:6" ht="33" customHeight="1" x14ac:dyDescent="0.2">
      <c r="A8" s="93" t="s">
        <v>2</v>
      </c>
      <c r="B8" s="15" t="s">
        <v>120</v>
      </c>
      <c r="C8" s="36">
        <v>0</v>
      </c>
      <c r="D8" s="14">
        <f>C8</f>
        <v>0</v>
      </c>
      <c r="E8" s="43" t="str">
        <f t="shared" si="0"/>
        <v>-</v>
      </c>
      <c r="F8" s="44" t="str">
        <f t="shared" si="1"/>
        <v>-</v>
      </c>
    </row>
    <row r="9" spans="1:6" ht="33" customHeight="1" x14ac:dyDescent="0.2">
      <c r="A9" s="93" t="s">
        <v>3</v>
      </c>
      <c r="B9" s="15" t="s">
        <v>117</v>
      </c>
      <c r="C9" s="36">
        <v>0</v>
      </c>
      <c r="D9" s="14">
        <f t="shared" ref="D9:D34" si="2">C9</f>
        <v>0</v>
      </c>
      <c r="E9" s="43" t="str">
        <f t="shared" si="0"/>
        <v>-</v>
      </c>
      <c r="F9" s="44" t="str">
        <f t="shared" si="1"/>
        <v>-</v>
      </c>
    </row>
    <row r="10" spans="1:6" ht="31.5" customHeight="1" x14ac:dyDescent="0.2">
      <c r="A10" s="94" t="s">
        <v>56</v>
      </c>
      <c r="B10" s="89" t="s">
        <v>142</v>
      </c>
      <c r="C10" s="36">
        <v>0</v>
      </c>
      <c r="D10" s="14">
        <f t="shared" si="2"/>
        <v>0</v>
      </c>
      <c r="E10" s="43" t="str">
        <f t="shared" si="0"/>
        <v>-</v>
      </c>
      <c r="F10" s="44" t="str">
        <f t="shared" si="1"/>
        <v>-</v>
      </c>
    </row>
    <row r="11" spans="1:6" ht="31.5" customHeight="1" x14ac:dyDescent="0.2">
      <c r="A11" s="94" t="s">
        <v>143</v>
      </c>
      <c r="B11" s="89" t="s">
        <v>146</v>
      </c>
      <c r="C11" s="36">
        <v>0</v>
      </c>
      <c r="D11" s="14">
        <f t="shared" si="2"/>
        <v>0</v>
      </c>
      <c r="E11" s="43" t="str">
        <f t="shared" si="0"/>
        <v>-</v>
      </c>
      <c r="F11" s="44" t="str">
        <f t="shared" si="1"/>
        <v>-</v>
      </c>
    </row>
    <row r="12" spans="1:6" ht="31.5" customHeight="1" x14ac:dyDescent="0.2">
      <c r="A12" s="94" t="s">
        <v>144</v>
      </c>
      <c r="B12" s="89" t="s">
        <v>147</v>
      </c>
      <c r="C12" s="36">
        <v>0</v>
      </c>
      <c r="D12" s="14">
        <f t="shared" si="2"/>
        <v>0</v>
      </c>
      <c r="E12" s="43" t="str">
        <f t="shared" si="0"/>
        <v>-</v>
      </c>
      <c r="F12" s="44" t="str">
        <f t="shared" si="1"/>
        <v>-</v>
      </c>
    </row>
    <row r="13" spans="1:6" ht="31.5" customHeight="1" x14ac:dyDescent="0.2">
      <c r="A13" s="94" t="s">
        <v>145</v>
      </c>
      <c r="B13" s="89" t="s">
        <v>148</v>
      </c>
      <c r="C13" s="36">
        <v>0</v>
      </c>
      <c r="D13" s="14">
        <f t="shared" si="2"/>
        <v>0</v>
      </c>
      <c r="E13" s="43" t="str">
        <f t="shared" si="0"/>
        <v>-</v>
      </c>
      <c r="F13" s="44" t="str">
        <f t="shared" si="1"/>
        <v>-</v>
      </c>
    </row>
    <row r="14" spans="1:6" ht="33" customHeight="1" x14ac:dyDescent="0.2">
      <c r="A14" s="93" t="s">
        <v>4</v>
      </c>
      <c r="B14" s="15" t="s">
        <v>125</v>
      </c>
      <c r="C14" s="36">
        <v>0</v>
      </c>
      <c r="D14" s="14">
        <f t="shared" si="2"/>
        <v>0</v>
      </c>
      <c r="E14" s="43" t="str">
        <f t="shared" si="0"/>
        <v>-</v>
      </c>
      <c r="F14" s="44" t="str">
        <f t="shared" si="1"/>
        <v>-</v>
      </c>
    </row>
    <row r="15" spans="1:6" ht="33" customHeight="1" x14ac:dyDescent="0.2">
      <c r="A15" s="93" t="s">
        <v>5</v>
      </c>
      <c r="B15" s="15" t="s">
        <v>121</v>
      </c>
      <c r="C15" s="36">
        <v>0</v>
      </c>
      <c r="D15" s="14">
        <f t="shared" si="2"/>
        <v>0</v>
      </c>
      <c r="E15" s="43" t="str">
        <f t="shared" si="0"/>
        <v>-</v>
      </c>
      <c r="F15" s="44" t="str">
        <f t="shared" si="1"/>
        <v>-</v>
      </c>
    </row>
    <row r="16" spans="1:6" ht="33" customHeight="1" x14ac:dyDescent="0.2">
      <c r="A16" s="93" t="s">
        <v>6</v>
      </c>
      <c r="B16" s="15" t="s">
        <v>127</v>
      </c>
      <c r="C16" s="36">
        <v>0</v>
      </c>
      <c r="D16" s="14">
        <f t="shared" si="2"/>
        <v>0</v>
      </c>
      <c r="E16" s="43" t="str">
        <f t="shared" si="0"/>
        <v>-</v>
      </c>
      <c r="F16" s="44" t="str">
        <f t="shared" si="1"/>
        <v>-</v>
      </c>
    </row>
    <row r="17" spans="1:6" ht="33" customHeight="1" x14ac:dyDescent="0.2">
      <c r="A17" s="93" t="s">
        <v>7</v>
      </c>
      <c r="B17" s="15" t="s">
        <v>126</v>
      </c>
      <c r="C17" s="36">
        <v>0</v>
      </c>
      <c r="D17" s="14">
        <f t="shared" si="2"/>
        <v>0</v>
      </c>
      <c r="E17" s="43" t="str">
        <f t="shared" si="0"/>
        <v>-</v>
      </c>
      <c r="F17" s="44" t="str">
        <f t="shared" si="1"/>
        <v>-</v>
      </c>
    </row>
    <row r="18" spans="1:6" ht="33" customHeight="1" x14ac:dyDescent="0.2">
      <c r="A18" s="93" t="s">
        <v>8</v>
      </c>
      <c r="B18" s="15" t="s">
        <v>122</v>
      </c>
      <c r="C18" s="36">
        <v>0</v>
      </c>
      <c r="D18" s="14">
        <f t="shared" si="2"/>
        <v>0</v>
      </c>
      <c r="E18" s="43" t="str">
        <f t="shared" si="0"/>
        <v>-</v>
      </c>
      <c r="F18" s="44" t="str">
        <f t="shared" si="1"/>
        <v>-</v>
      </c>
    </row>
    <row r="19" spans="1:6" ht="33" customHeight="1" x14ac:dyDescent="0.2">
      <c r="A19" s="93" t="s">
        <v>9</v>
      </c>
      <c r="B19" s="15" t="s">
        <v>123</v>
      </c>
      <c r="C19" s="36">
        <v>0</v>
      </c>
      <c r="D19" s="14">
        <f t="shared" si="2"/>
        <v>0</v>
      </c>
      <c r="E19" s="43" t="str">
        <f t="shared" si="0"/>
        <v>-</v>
      </c>
      <c r="F19" s="44" t="str">
        <f t="shared" si="1"/>
        <v>-</v>
      </c>
    </row>
    <row r="20" spans="1:6" ht="33" customHeight="1" x14ac:dyDescent="0.2">
      <c r="A20" s="93" t="s">
        <v>10</v>
      </c>
      <c r="B20" s="15" t="s">
        <v>128</v>
      </c>
      <c r="C20" s="36">
        <v>0</v>
      </c>
      <c r="D20" s="14">
        <f t="shared" si="2"/>
        <v>0</v>
      </c>
      <c r="E20" s="43" t="str">
        <f t="shared" si="0"/>
        <v>-</v>
      </c>
      <c r="F20" s="44" t="str">
        <f t="shared" si="1"/>
        <v>-</v>
      </c>
    </row>
    <row r="21" spans="1:6" ht="46.5" customHeight="1" x14ac:dyDescent="0.2">
      <c r="A21" s="93" t="s">
        <v>11</v>
      </c>
      <c r="B21" s="15" t="s">
        <v>124</v>
      </c>
      <c r="C21" s="36">
        <v>0</v>
      </c>
      <c r="D21" s="14">
        <f t="shared" si="2"/>
        <v>0</v>
      </c>
      <c r="E21" s="43" t="str">
        <f t="shared" si="0"/>
        <v>-</v>
      </c>
      <c r="F21" s="44" t="str">
        <f t="shared" si="1"/>
        <v>-</v>
      </c>
    </row>
    <row r="22" spans="1:6" ht="33" customHeight="1" x14ac:dyDescent="0.2">
      <c r="A22" s="93" t="s">
        <v>12</v>
      </c>
      <c r="B22" s="15" t="s">
        <v>165</v>
      </c>
      <c r="C22" s="36">
        <v>0</v>
      </c>
      <c r="D22" s="14">
        <f t="shared" si="2"/>
        <v>0</v>
      </c>
      <c r="E22" s="43" t="str">
        <f t="shared" si="0"/>
        <v>-</v>
      </c>
      <c r="F22" s="44" t="str">
        <f t="shared" si="1"/>
        <v>-</v>
      </c>
    </row>
    <row r="23" spans="1:6" ht="33" customHeight="1" x14ac:dyDescent="0.2">
      <c r="A23" s="93" t="s">
        <v>13</v>
      </c>
      <c r="B23" s="15" t="s">
        <v>149</v>
      </c>
      <c r="C23" s="36">
        <v>0</v>
      </c>
      <c r="D23" s="14">
        <f t="shared" si="2"/>
        <v>0</v>
      </c>
      <c r="E23" s="43" t="str">
        <f t="shared" si="0"/>
        <v>-</v>
      </c>
      <c r="F23" s="44" t="str">
        <f t="shared" si="1"/>
        <v>-</v>
      </c>
    </row>
    <row r="24" spans="1:6" ht="33" customHeight="1" x14ac:dyDescent="0.2">
      <c r="A24" s="95" t="s">
        <v>14</v>
      </c>
      <c r="B24" s="35" t="s">
        <v>222</v>
      </c>
      <c r="C24" s="36">
        <v>0</v>
      </c>
      <c r="D24" s="36">
        <f>SUM(D25:D27)</f>
        <v>0</v>
      </c>
      <c r="E24" s="43" t="str">
        <f t="shared" si="0"/>
        <v>-</v>
      </c>
      <c r="F24" s="44" t="str">
        <f t="shared" si="1"/>
        <v>-</v>
      </c>
    </row>
    <row r="25" spans="1:6" ht="37.5" x14ac:dyDescent="0.2">
      <c r="A25" s="94" t="s">
        <v>129</v>
      </c>
      <c r="B25" s="89" t="s">
        <v>151</v>
      </c>
      <c r="C25" s="36">
        <v>0</v>
      </c>
      <c r="D25" s="14">
        <f t="shared" si="2"/>
        <v>0</v>
      </c>
      <c r="E25" s="43" t="str">
        <f t="shared" si="0"/>
        <v>-</v>
      </c>
      <c r="F25" s="44" t="str">
        <f t="shared" si="1"/>
        <v>-</v>
      </c>
    </row>
    <row r="26" spans="1:6" ht="31.5" customHeight="1" x14ac:dyDescent="0.2">
      <c r="A26" s="94" t="s">
        <v>150</v>
      </c>
      <c r="B26" s="89" t="s">
        <v>153</v>
      </c>
      <c r="C26" s="36">
        <v>0</v>
      </c>
      <c r="D26" s="14">
        <f t="shared" si="2"/>
        <v>0</v>
      </c>
      <c r="E26" s="43" t="str">
        <f t="shared" si="0"/>
        <v>-</v>
      </c>
      <c r="F26" s="44" t="str">
        <f t="shared" si="1"/>
        <v>-</v>
      </c>
    </row>
    <row r="27" spans="1:6" ht="37.5" x14ac:dyDescent="0.2">
      <c r="A27" s="94" t="s">
        <v>154</v>
      </c>
      <c r="B27" s="89" t="s">
        <v>152</v>
      </c>
      <c r="C27" s="36">
        <v>0</v>
      </c>
      <c r="D27" s="14">
        <f t="shared" si="2"/>
        <v>0</v>
      </c>
      <c r="E27" s="43" t="str">
        <f t="shared" si="0"/>
        <v>-</v>
      </c>
      <c r="F27" s="44" t="str">
        <f t="shared" si="1"/>
        <v>-</v>
      </c>
    </row>
    <row r="28" spans="1:6" ht="33" customHeight="1" x14ac:dyDescent="0.2">
      <c r="A28" s="96" t="s">
        <v>15</v>
      </c>
      <c r="B28" s="16" t="s">
        <v>113</v>
      </c>
      <c r="C28" s="36">
        <v>545092</v>
      </c>
      <c r="D28" s="14">
        <f t="shared" si="2"/>
        <v>545092</v>
      </c>
      <c r="E28" s="43" t="str">
        <f t="shared" si="0"/>
        <v>-</v>
      </c>
      <c r="F28" s="44">
        <f t="shared" si="1"/>
        <v>1</v>
      </c>
    </row>
    <row r="29" spans="1:6" ht="33" customHeight="1" x14ac:dyDescent="0.2">
      <c r="A29" s="96" t="s">
        <v>110</v>
      </c>
      <c r="B29" s="17" t="s">
        <v>155</v>
      </c>
      <c r="C29" s="36">
        <v>143811</v>
      </c>
      <c r="D29" s="14">
        <f>C29-C29</f>
        <v>0</v>
      </c>
      <c r="E29" s="43">
        <f t="shared" si="0"/>
        <v>-143811</v>
      </c>
      <c r="F29" s="44">
        <f t="shared" si="1"/>
        <v>0</v>
      </c>
    </row>
    <row r="30" spans="1:6" ht="31.5" customHeight="1" x14ac:dyDescent="0.2">
      <c r="A30" s="94" t="s">
        <v>156</v>
      </c>
      <c r="B30" s="89" t="s">
        <v>167</v>
      </c>
      <c r="C30" s="36">
        <v>0</v>
      </c>
      <c r="D30" s="14">
        <f t="shared" si="2"/>
        <v>0</v>
      </c>
      <c r="E30" s="43" t="str">
        <f t="shared" si="0"/>
        <v>-</v>
      </c>
      <c r="F30" s="44" t="str">
        <f t="shared" si="1"/>
        <v>-</v>
      </c>
    </row>
    <row r="31" spans="1:6" ht="33" customHeight="1" x14ac:dyDescent="0.2">
      <c r="A31" s="96" t="s">
        <v>111</v>
      </c>
      <c r="B31" s="17" t="s">
        <v>114</v>
      </c>
      <c r="C31" s="36">
        <v>0</v>
      </c>
      <c r="D31" s="14">
        <f t="shared" si="2"/>
        <v>0</v>
      </c>
      <c r="E31" s="43" t="str">
        <f t="shared" si="0"/>
        <v>-</v>
      </c>
      <c r="F31" s="44" t="str">
        <f t="shared" si="1"/>
        <v>-</v>
      </c>
    </row>
    <row r="32" spans="1:6" ht="33" customHeight="1" x14ac:dyDescent="0.2">
      <c r="A32" s="96" t="s">
        <v>112</v>
      </c>
      <c r="B32" s="17" t="s">
        <v>166</v>
      </c>
      <c r="C32" s="36">
        <v>0</v>
      </c>
      <c r="D32" s="14">
        <f t="shared" si="2"/>
        <v>0</v>
      </c>
      <c r="E32" s="43" t="str">
        <f t="shared" si="0"/>
        <v>-</v>
      </c>
      <c r="F32" s="44" t="str">
        <f t="shared" si="1"/>
        <v>-</v>
      </c>
    </row>
    <row r="33" spans="1:6" ht="42.75" customHeight="1" x14ac:dyDescent="0.2">
      <c r="A33" s="96" t="s">
        <v>223</v>
      </c>
      <c r="B33" s="17" t="s">
        <v>224</v>
      </c>
      <c r="C33" s="36">
        <v>395507</v>
      </c>
      <c r="D33" s="14">
        <f>C33-345507</f>
        <v>50000</v>
      </c>
      <c r="E33" s="43">
        <f>IF(C33=D33,"-",D33-C33)</f>
        <v>-345507</v>
      </c>
      <c r="F33" s="44">
        <f>IF(C33=0,"-",D33/C33)</f>
        <v>0.12640000000000001</v>
      </c>
    </row>
    <row r="34" spans="1:6" ht="33" customHeight="1" x14ac:dyDescent="0.2">
      <c r="A34" s="96" t="s">
        <v>233</v>
      </c>
      <c r="B34" s="17" t="s">
        <v>234</v>
      </c>
      <c r="C34" s="36">
        <v>0</v>
      </c>
      <c r="D34" s="14">
        <f t="shared" si="2"/>
        <v>0</v>
      </c>
      <c r="E34" s="43" t="str">
        <f>IF(C34=D34,"-",D34-C34)</f>
        <v>-</v>
      </c>
      <c r="F34" s="44" t="str">
        <f>IF(C34=0,"-",D34/C34)</f>
        <v>-</v>
      </c>
    </row>
    <row r="35" spans="1:6" s="3" customFormat="1" ht="31.5" customHeight="1" x14ac:dyDescent="0.2">
      <c r="A35" s="97" t="s">
        <v>58</v>
      </c>
      <c r="B35" s="18" t="s">
        <v>59</v>
      </c>
      <c r="C35" s="37">
        <v>0</v>
      </c>
      <c r="D35" s="42">
        <f>C35</f>
        <v>0</v>
      </c>
      <c r="E35" s="8" t="str">
        <f t="shared" si="0"/>
        <v>-</v>
      </c>
      <c r="F35" s="45" t="str">
        <f t="shared" si="1"/>
        <v>-</v>
      </c>
    </row>
    <row r="36" spans="1:6" s="3" customFormat="1" ht="31.5" customHeight="1" x14ac:dyDescent="0.2">
      <c r="A36" s="97" t="s">
        <v>57</v>
      </c>
      <c r="B36" s="18" t="s">
        <v>60</v>
      </c>
      <c r="C36" s="37">
        <v>0</v>
      </c>
      <c r="D36" s="42">
        <f>C36</f>
        <v>0</v>
      </c>
      <c r="E36" s="8" t="str">
        <f t="shared" si="0"/>
        <v>-</v>
      </c>
      <c r="F36" s="45" t="str">
        <f t="shared" si="1"/>
        <v>-</v>
      </c>
    </row>
    <row r="37" spans="1:6" s="3" customFormat="1" ht="40.5" x14ac:dyDescent="0.2">
      <c r="A37" s="97" t="s">
        <v>235</v>
      </c>
      <c r="B37" s="18" t="s">
        <v>236</v>
      </c>
      <c r="C37" s="37">
        <v>0</v>
      </c>
      <c r="D37" s="42">
        <f>C37</f>
        <v>0</v>
      </c>
      <c r="E37" s="8" t="str">
        <f t="shared" si="0"/>
        <v>-</v>
      </c>
      <c r="F37" s="45" t="str">
        <f t="shared" si="1"/>
        <v>-</v>
      </c>
    </row>
    <row r="38" spans="1:6" s="3" customFormat="1" ht="42.75" customHeight="1" x14ac:dyDescent="0.2">
      <c r="A38" s="97" t="s">
        <v>157</v>
      </c>
      <c r="B38" s="18" t="s">
        <v>158</v>
      </c>
      <c r="C38" s="37">
        <f>C11+C13+C24+C30</f>
        <v>0</v>
      </c>
      <c r="D38" s="37">
        <f>D11+D13+D24+D30</f>
        <v>0</v>
      </c>
      <c r="E38" s="8" t="str">
        <f t="shared" si="0"/>
        <v>-</v>
      </c>
      <c r="F38" s="45" t="str">
        <f t="shared" si="1"/>
        <v>-</v>
      </c>
    </row>
    <row r="39" spans="1:6" ht="30" customHeight="1" x14ac:dyDescent="0.2">
      <c r="A39" s="151" t="s">
        <v>16</v>
      </c>
      <c r="B39" s="152" t="s">
        <v>228</v>
      </c>
      <c r="C39" s="135">
        <f>C40+C41+C42+C50+C52+C58+C59+C57</f>
        <v>235931</v>
      </c>
      <c r="D39" s="135">
        <f>D40+D41+D42+D50+D52+D58+D59+D57</f>
        <v>235931</v>
      </c>
      <c r="E39" s="131" t="str">
        <f t="shared" si="0"/>
        <v>-</v>
      </c>
      <c r="F39" s="153">
        <f t="shared" si="1"/>
        <v>1</v>
      </c>
    </row>
    <row r="40" spans="1:6" ht="28.5" customHeight="1" x14ac:dyDescent="0.2">
      <c r="A40" s="96" t="s">
        <v>17</v>
      </c>
      <c r="B40" s="20" t="s">
        <v>18</v>
      </c>
      <c r="C40" s="36">
        <v>3680</v>
      </c>
      <c r="D40" s="38">
        <f>C40</f>
        <v>3680</v>
      </c>
      <c r="E40" s="43" t="str">
        <f t="shared" si="0"/>
        <v>-</v>
      </c>
      <c r="F40" s="44">
        <f t="shared" si="1"/>
        <v>1</v>
      </c>
    </row>
    <row r="41" spans="1:6" ht="28.5" customHeight="1" x14ac:dyDescent="0.2">
      <c r="A41" s="96" t="s">
        <v>19</v>
      </c>
      <c r="B41" s="20" t="s">
        <v>20</v>
      </c>
      <c r="C41" s="36">
        <v>117662</v>
      </c>
      <c r="D41" s="38">
        <f>C41</f>
        <v>117662</v>
      </c>
      <c r="E41" s="43" t="str">
        <f t="shared" si="0"/>
        <v>-</v>
      </c>
      <c r="F41" s="44">
        <f t="shared" si="1"/>
        <v>1</v>
      </c>
    </row>
    <row r="42" spans="1:6" ht="28.5" customHeight="1" x14ac:dyDescent="0.2">
      <c r="A42" s="96" t="s">
        <v>21</v>
      </c>
      <c r="B42" s="21" t="s">
        <v>229</v>
      </c>
      <c r="C42" s="38">
        <f>C43+C45+C46+C47+C48+C49</f>
        <v>713</v>
      </c>
      <c r="D42" s="38">
        <f>D43+D45+D46+D47+D48+D49</f>
        <v>713</v>
      </c>
      <c r="E42" s="43" t="str">
        <f t="shared" si="0"/>
        <v>-</v>
      </c>
      <c r="F42" s="44">
        <f t="shared" si="1"/>
        <v>1</v>
      </c>
    </row>
    <row r="43" spans="1:6" ht="28.5" customHeight="1" x14ac:dyDescent="0.2">
      <c r="A43" s="99" t="s">
        <v>39</v>
      </c>
      <c r="B43" s="90" t="s">
        <v>32</v>
      </c>
      <c r="C43" s="36">
        <v>100</v>
      </c>
      <c r="D43" s="38">
        <f t="shared" ref="D43:D58" si="3">C43</f>
        <v>100</v>
      </c>
      <c r="E43" s="43" t="str">
        <f t="shared" si="0"/>
        <v>-</v>
      </c>
      <c r="F43" s="44">
        <f t="shared" si="1"/>
        <v>1</v>
      </c>
    </row>
    <row r="44" spans="1:6" ht="28.5" customHeight="1" x14ac:dyDescent="0.2">
      <c r="A44" s="99" t="s">
        <v>40</v>
      </c>
      <c r="B44" s="91" t="s">
        <v>33</v>
      </c>
      <c r="C44" s="36">
        <v>100</v>
      </c>
      <c r="D44" s="38">
        <f t="shared" si="3"/>
        <v>100</v>
      </c>
      <c r="E44" s="43" t="str">
        <f t="shared" si="0"/>
        <v>-</v>
      </c>
      <c r="F44" s="44">
        <f t="shared" si="1"/>
        <v>1</v>
      </c>
    </row>
    <row r="45" spans="1:6" ht="28.5" customHeight="1" x14ac:dyDescent="0.2">
      <c r="A45" s="99" t="s">
        <v>41</v>
      </c>
      <c r="B45" s="90" t="s">
        <v>34</v>
      </c>
      <c r="C45" s="36">
        <v>94</v>
      </c>
      <c r="D45" s="38">
        <f t="shared" si="3"/>
        <v>94</v>
      </c>
      <c r="E45" s="43" t="str">
        <f t="shared" si="0"/>
        <v>-</v>
      </c>
      <c r="F45" s="44">
        <f t="shared" si="1"/>
        <v>1</v>
      </c>
    </row>
    <row r="46" spans="1:6" ht="28.5" customHeight="1" x14ac:dyDescent="0.2">
      <c r="A46" s="99" t="s">
        <v>42</v>
      </c>
      <c r="B46" s="90" t="s">
        <v>35</v>
      </c>
      <c r="C46" s="36">
        <v>22</v>
      </c>
      <c r="D46" s="38">
        <f t="shared" si="3"/>
        <v>22</v>
      </c>
      <c r="E46" s="43" t="str">
        <f t="shared" si="0"/>
        <v>-</v>
      </c>
      <c r="F46" s="44">
        <f t="shared" si="1"/>
        <v>1</v>
      </c>
    </row>
    <row r="47" spans="1:6" ht="28.5" customHeight="1" x14ac:dyDescent="0.2">
      <c r="A47" s="99" t="s">
        <v>43</v>
      </c>
      <c r="B47" s="90" t="s">
        <v>36</v>
      </c>
      <c r="C47" s="36">
        <v>0</v>
      </c>
      <c r="D47" s="38">
        <f t="shared" si="3"/>
        <v>0</v>
      </c>
      <c r="E47" s="43" t="str">
        <f t="shared" si="0"/>
        <v>-</v>
      </c>
      <c r="F47" s="44" t="str">
        <f t="shared" si="1"/>
        <v>-</v>
      </c>
    </row>
    <row r="48" spans="1:6" ht="28.5" customHeight="1" x14ac:dyDescent="0.2">
      <c r="A48" s="99" t="s">
        <v>44</v>
      </c>
      <c r="B48" s="90" t="s">
        <v>37</v>
      </c>
      <c r="C48" s="36">
        <v>382</v>
      </c>
      <c r="D48" s="38">
        <f t="shared" si="3"/>
        <v>382</v>
      </c>
      <c r="E48" s="43" t="str">
        <f t="shared" si="0"/>
        <v>-</v>
      </c>
      <c r="F48" s="44">
        <f t="shared" si="1"/>
        <v>1</v>
      </c>
    </row>
    <row r="49" spans="1:6" ht="28.5" customHeight="1" x14ac:dyDescent="0.2">
      <c r="A49" s="99" t="s">
        <v>45</v>
      </c>
      <c r="B49" s="90" t="s">
        <v>38</v>
      </c>
      <c r="C49" s="36">
        <v>115</v>
      </c>
      <c r="D49" s="38">
        <f t="shared" si="3"/>
        <v>115</v>
      </c>
      <c r="E49" s="43" t="str">
        <f t="shared" si="0"/>
        <v>-</v>
      </c>
      <c r="F49" s="44">
        <f t="shared" si="1"/>
        <v>1</v>
      </c>
    </row>
    <row r="50" spans="1:6" ht="28.5" customHeight="1" x14ac:dyDescent="0.2">
      <c r="A50" s="96" t="s">
        <v>22</v>
      </c>
      <c r="B50" s="20" t="s">
        <v>159</v>
      </c>
      <c r="C50" s="36">
        <v>37762</v>
      </c>
      <c r="D50" s="38">
        <f>C50</f>
        <v>37762</v>
      </c>
      <c r="E50" s="43" t="str">
        <f t="shared" si="0"/>
        <v>-</v>
      </c>
      <c r="F50" s="44">
        <f t="shared" si="1"/>
        <v>1</v>
      </c>
    </row>
    <row r="51" spans="1:6" ht="28.5" customHeight="1" x14ac:dyDescent="0.2">
      <c r="A51" s="99" t="s">
        <v>160</v>
      </c>
      <c r="B51" s="90" t="s">
        <v>161</v>
      </c>
      <c r="C51" s="36">
        <v>353</v>
      </c>
      <c r="D51" s="38">
        <f t="shared" si="3"/>
        <v>353</v>
      </c>
      <c r="E51" s="43" t="str">
        <f t="shared" si="0"/>
        <v>-</v>
      </c>
      <c r="F51" s="44">
        <f t="shared" si="1"/>
        <v>1</v>
      </c>
    </row>
    <row r="52" spans="1:6" ht="28.5" customHeight="1" x14ac:dyDescent="0.2">
      <c r="A52" s="96" t="s">
        <v>23</v>
      </c>
      <c r="B52" s="21" t="s">
        <v>227</v>
      </c>
      <c r="C52" s="34">
        <f>C53+C54+C55+C56</f>
        <v>9370</v>
      </c>
      <c r="D52" s="34">
        <f>D53+D54+D55+D56</f>
        <v>9370</v>
      </c>
      <c r="E52" s="43" t="str">
        <f t="shared" si="0"/>
        <v>-</v>
      </c>
      <c r="F52" s="44">
        <f t="shared" si="1"/>
        <v>1</v>
      </c>
    </row>
    <row r="53" spans="1:6" ht="28.5" customHeight="1" x14ac:dyDescent="0.2">
      <c r="A53" s="99" t="s">
        <v>50</v>
      </c>
      <c r="B53" s="90" t="s">
        <v>46</v>
      </c>
      <c r="C53" s="36">
        <v>6494</v>
      </c>
      <c r="D53" s="38">
        <f>C53</f>
        <v>6494</v>
      </c>
      <c r="E53" s="43" t="str">
        <f t="shared" si="0"/>
        <v>-</v>
      </c>
      <c r="F53" s="44">
        <f t="shared" si="1"/>
        <v>1</v>
      </c>
    </row>
    <row r="54" spans="1:6" ht="28.5" customHeight="1" x14ac:dyDescent="0.2">
      <c r="A54" s="99" t="s">
        <v>51</v>
      </c>
      <c r="B54" s="90" t="s">
        <v>47</v>
      </c>
      <c r="C54" s="36">
        <v>926</v>
      </c>
      <c r="D54" s="38">
        <f>C54</f>
        <v>926</v>
      </c>
      <c r="E54" s="43" t="str">
        <f t="shared" si="0"/>
        <v>-</v>
      </c>
      <c r="F54" s="44">
        <f t="shared" si="1"/>
        <v>1</v>
      </c>
    </row>
    <row r="55" spans="1:6" ht="28.5" customHeight="1" x14ac:dyDescent="0.2">
      <c r="A55" s="99" t="s">
        <v>52</v>
      </c>
      <c r="B55" s="90" t="s">
        <v>48</v>
      </c>
      <c r="C55" s="36">
        <v>0</v>
      </c>
      <c r="D55" s="38">
        <f t="shared" si="3"/>
        <v>0</v>
      </c>
      <c r="E55" s="43" t="str">
        <f t="shared" si="0"/>
        <v>-</v>
      </c>
      <c r="F55" s="44" t="str">
        <f t="shared" si="1"/>
        <v>-</v>
      </c>
    </row>
    <row r="56" spans="1:6" ht="28.5" customHeight="1" x14ac:dyDescent="0.2">
      <c r="A56" s="99" t="s">
        <v>53</v>
      </c>
      <c r="B56" s="90" t="s">
        <v>49</v>
      </c>
      <c r="C56" s="36">
        <v>1950</v>
      </c>
      <c r="D56" s="38">
        <f>C56</f>
        <v>1950</v>
      </c>
      <c r="E56" s="43" t="str">
        <f t="shared" si="0"/>
        <v>-</v>
      </c>
      <c r="F56" s="44">
        <f t="shared" si="1"/>
        <v>1</v>
      </c>
    </row>
    <row r="57" spans="1:6" ht="28.5" customHeight="1" x14ac:dyDescent="0.2">
      <c r="A57" s="96" t="s">
        <v>24</v>
      </c>
      <c r="B57" s="20" t="s">
        <v>25</v>
      </c>
      <c r="C57" s="36">
        <v>50</v>
      </c>
      <c r="D57" s="38">
        <f t="shared" si="3"/>
        <v>50</v>
      </c>
      <c r="E57" s="43" t="str">
        <f t="shared" si="0"/>
        <v>-</v>
      </c>
      <c r="F57" s="44">
        <f t="shared" si="1"/>
        <v>1</v>
      </c>
    </row>
    <row r="58" spans="1:6" ht="28.5" customHeight="1" x14ac:dyDescent="0.2">
      <c r="A58" s="96" t="s">
        <v>26</v>
      </c>
      <c r="B58" s="20" t="s">
        <v>162</v>
      </c>
      <c r="C58" s="36">
        <v>64785</v>
      </c>
      <c r="D58" s="38">
        <f t="shared" si="3"/>
        <v>64785</v>
      </c>
      <c r="E58" s="43" t="str">
        <f t="shared" si="0"/>
        <v>-</v>
      </c>
      <c r="F58" s="46">
        <f t="shared" si="1"/>
        <v>1</v>
      </c>
    </row>
    <row r="59" spans="1:6" ht="28.5" customHeight="1" x14ac:dyDescent="0.2">
      <c r="A59" s="96" t="s">
        <v>27</v>
      </c>
      <c r="B59" s="20" t="s">
        <v>28</v>
      </c>
      <c r="C59" s="36">
        <v>1909</v>
      </c>
      <c r="D59" s="38">
        <f>C59</f>
        <v>1909</v>
      </c>
      <c r="E59" s="43" t="str">
        <f t="shared" si="0"/>
        <v>-</v>
      </c>
      <c r="F59" s="44">
        <f t="shared" si="1"/>
        <v>1</v>
      </c>
    </row>
    <row r="60" spans="1:6" ht="30" customHeight="1" x14ac:dyDescent="0.2">
      <c r="A60" s="142" t="s">
        <v>135</v>
      </c>
      <c r="B60" s="143" t="s">
        <v>163</v>
      </c>
      <c r="C60" s="154">
        <f>C61+C62+C63+C64</f>
        <v>7555</v>
      </c>
      <c r="D60" s="154">
        <f>D61+D62+D63+D64</f>
        <v>7555</v>
      </c>
      <c r="E60" s="131" t="str">
        <f t="shared" si="0"/>
        <v>-</v>
      </c>
      <c r="F60" s="155">
        <f t="shared" si="1"/>
        <v>1</v>
      </c>
    </row>
    <row r="61" spans="1:6" ht="42" customHeight="1" x14ac:dyDescent="0.2">
      <c r="A61" s="96" t="s">
        <v>101</v>
      </c>
      <c r="B61" s="20" t="s">
        <v>115</v>
      </c>
      <c r="C61" s="36">
        <v>875</v>
      </c>
      <c r="D61" s="38">
        <f>C61</f>
        <v>875</v>
      </c>
      <c r="E61" s="34" t="str">
        <f t="shared" si="0"/>
        <v>-</v>
      </c>
      <c r="F61" s="44">
        <f t="shared" si="1"/>
        <v>1</v>
      </c>
    </row>
    <row r="62" spans="1:6" ht="31.5" customHeight="1" x14ac:dyDescent="0.2">
      <c r="A62" s="96" t="s">
        <v>30</v>
      </c>
      <c r="B62" s="20" t="s">
        <v>55</v>
      </c>
      <c r="C62" s="36">
        <v>1180</v>
      </c>
      <c r="D62" s="38">
        <f>C62</f>
        <v>1180</v>
      </c>
      <c r="E62" s="34" t="str">
        <f t="shared" si="0"/>
        <v>-</v>
      </c>
      <c r="F62" s="44">
        <f t="shared" si="1"/>
        <v>1</v>
      </c>
    </row>
    <row r="63" spans="1:6" ht="31.5" customHeight="1" x14ac:dyDescent="0.2">
      <c r="A63" s="96" t="s">
        <v>31</v>
      </c>
      <c r="B63" s="20" t="s">
        <v>103</v>
      </c>
      <c r="C63" s="36">
        <v>0</v>
      </c>
      <c r="D63" s="38">
        <f>C63</f>
        <v>0</v>
      </c>
      <c r="E63" s="34" t="str">
        <f t="shared" si="0"/>
        <v>-</v>
      </c>
      <c r="F63" s="44" t="str">
        <f t="shared" si="1"/>
        <v>-</v>
      </c>
    </row>
    <row r="64" spans="1:6" ht="31.5" customHeight="1" x14ac:dyDescent="0.2">
      <c r="A64" s="96" t="s">
        <v>102</v>
      </c>
      <c r="B64" s="20" t="s">
        <v>104</v>
      </c>
      <c r="C64" s="36">
        <v>5500</v>
      </c>
      <c r="D64" s="38">
        <f>C64</f>
        <v>5500</v>
      </c>
      <c r="E64" s="34" t="str">
        <f t="shared" si="0"/>
        <v>-</v>
      </c>
      <c r="F64" s="44">
        <f t="shared" si="1"/>
        <v>1</v>
      </c>
    </row>
    <row r="65" spans="1:6" ht="32.25" customHeight="1" x14ac:dyDescent="0.2">
      <c r="A65" s="142" t="s">
        <v>137</v>
      </c>
      <c r="B65" s="143" t="s">
        <v>116</v>
      </c>
      <c r="C65" s="154">
        <v>30182</v>
      </c>
      <c r="D65" s="154">
        <f>C65</f>
        <v>30182</v>
      </c>
      <c r="E65" s="131" t="str">
        <f t="shared" si="0"/>
        <v>-</v>
      </c>
      <c r="F65" s="155">
        <f t="shared" si="1"/>
        <v>1</v>
      </c>
    </row>
    <row r="71" spans="1:6" x14ac:dyDescent="0.2">
      <c r="C71" s="39"/>
    </row>
  </sheetData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8"/>
  <sheetViews>
    <sheetView showGridLines="0" topLeftCell="A13" zoomScale="55" zoomScaleNormal="55" zoomScaleSheetLayoutView="55" workbookViewId="0">
      <selection activeCell="B51" sqref="B51"/>
    </sheetView>
  </sheetViews>
  <sheetFormatPr defaultRowHeight="31.5" customHeight="1" x14ac:dyDescent="0.2"/>
  <cols>
    <col min="1" max="1" width="11.7109375" customWidth="1"/>
    <col min="2" max="2" width="102.28515625" customWidth="1"/>
    <col min="3" max="3" width="14.7109375" customWidth="1"/>
    <col min="4" max="4" width="21.42578125" customWidth="1"/>
    <col min="5" max="5" width="15.42578125" customWidth="1"/>
    <col min="6" max="12" width="13.5703125" customWidth="1"/>
    <col min="13" max="13" width="15.42578125" customWidth="1"/>
    <col min="14" max="19" width="13.5703125" customWidth="1"/>
    <col min="20" max="20" width="14.42578125" customWidth="1"/>
    <col min="21" max="21" width="9.140625" customWidth="1"/>
    <col min="24" max="24" width="15" bestFit="1" customWidth="1"/>
  </cols>
  <sheetData>
    <row r="1" spans="1:24" ht="31.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24"/>
      <c r="M1" s="24"/>
      <c r="N1" s="24"/>
      <c r="O1" s="24"/>
      <c r="P1" s="24"/>
      <c r="Q1" s="24"/>
      <c r="R1" s="24" t="s">
        <v>174</v>
      </c>
      <c r="S1" s="24"/>
      <c r="T1" s="24"/>
    </row>
    <row r="2" spans="1:24" ht="31.5" customHeight="1" x14ac:dyDescent="0.2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</row>
    <row r="3" spans="1:24" ht="31.5" customHeight="1" x14ac:dyDescent="0.35">
      <c r="A3" s="80"/>
      <c r="B3" s="33"/>
      <c r="C3" s="49"/>
      <c r="D3" s="4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 t="s">
        <v>175</v>
      </c>
      <c r="X3" s="87"/>
    </row>
    <row r="4" spans="1:24" ht="165.75" customHeight="1" x14ac:dyDescent="0.2">
      <c r="A4" s="84" t="s">
        <v>118</v>
      </c>
      <c r="B4" s="84" t="s">
        <v>54</v>
      </c>
      <c r="C4" s="85" t="s">
        <v>176</v>
      </c>
      <c r="D4" s="85" t="s">
        <v>177</v>
      </c>
      <c r="E4" s="85" t="s">
        <v>178</v>
      </c>
      <c r="F4" s="85" t="s">
        <v>179</v>
      </c>
      <c r="G4" s="85" t="s">
        <v>180</v>
      </c>
      <c r="H4" s="85" t="s">
        <v>181</v>
      </c>
      <c r="I4" s="85" t="s">
        <v>182</v>
      </c>
      <c r="J4" s="85" t="s">
        <v>183</v>
      </c>
      <c r="K4" s="85" t="s">
        <v>184</v>
      </c>
      <c r="L4" s="85" t="s">
        <v>185</v>
      </c>
      <c r="M4" s="85" t="s">
        <v>186</v>
      </c>
      <c r="N4" s="85" t="s">
        <v>187</v>
      </c>
      <c r="O4" s="85" t="s">
        <v>188</v>
      </c>
      <c r="P4" s="85" t="s">
        <v>189</v>
      </c>
      <c r="Q4" s="85" t="s">
        <v>190</v>
      </c>
      <c r="R4" s="85" t="s">
        <v>191</v>
      </c>
      <c r="S4" s="85" t="s">
        <v>192</v>
      </c>
      <c r="T4" s="85" t="s">
        <v>193</v>
      </c>
      <c r="X4" s="86"/>
    </row>
    <row r="5" spans="1:24" s="72" customFormat="1" ht="19.5" customHeight="1" x14ac:dyDescent="0.2">
      <c r="A5" s="71" t="s">
        <v>194</v>
      </c>
      <c r="B5" s="71" t="s">
        <v>195</v>
      </c>
      <c r="C5" s="71" t="s">
        <v>196</v>
      </c>
      <c r="D5" s="71" t="s">
        <v>196</v>
      </c>
      <c r="E5" s="71" t="s">
        <v>197</v>
      </c>
      <c r="F5" s="71" t="s">
        <v>198</v>
      </c>
      <c r="G5" s="71" t="s">
        <v>199</v>
      </c>
      <c r="H5" s="71" t="s">
        <v>200</v>
      </c>
      <c r="I5" s="71" t="s">
        <v>201</v>
      </c>
      <c r="J5" s="71" t="s">
        <v>202</v>
      </c>
      <c r="K5" s="71" t="s">
        <v>203</v>
      </c>
      <c r="L5" s="71" t="s">
        <v>204</v>
      </c>
      <c r="M5" s="71" t="s">
        <v>205</v>
      </c>
      <c r="N5" s="71" t="s">
        <v>206</v>
      </c>
      <c r="O5" s="71" t="s">
        <v>207</v>
      </c>
      <c r="P5" s="71" t="s">
        <v>208</v>
      </c>
      <c r="Q5" s="71" t="s">
        <v>209</v>
      </c>
      <c r="R5" s="71" t="s">
        <v>210</v>
      </c>
      <c r="S5" s="71" t="s">
        <v>211</v>
      </c>
      <c r="T5" s="71" t="s">
        <v>212</v>
      </c>
    </row>
    <row r="6" spans="1:24" ht="31.5" customHeight="1" x14ac:dyDescent="0.2">
      <c r="A6" s="101" t="s">
        <v>0</v>
      </c>
      <c r="B6" s="73" t="s">
        <v>232</v>
      </c>
      <c r="C6" s="55" t="e">
        <f>C7+C8+C9+C14+C15+C16+C17+C18+C19+C20+C21+C22+C23+C24+C28+C29+C31+C32+C33+C34</f>
        <v>#VALUE!</v>
      </c>
      <c r="D6" s="55">
        <f>D7+D8+D9+D14+D15+D16+D17+D18+D19+D20+D21+D22+D23+D24+D28+D29+D31+D32</f>
        <v>1435197</v>
      </c>
      <c r="E6" s="55">
        <f>Dolnośląski!E6</f>
        <v>107653</v>
      </c>
      <c r="F6" s="55">
        <f>KujawskoPomorski!E6</f>
        <v>77305</v>
      </c>
      <c r="G6" s="55">
        <f>Lubelski!E6</f>
        <v>81149</v>
      </c>
      <c r="H6" s="55">
        <f>Lubuski!E6</f>
        <v>36895</v>
      </c>
      <c r="I6" s="55">
        <f>Łódzki!E6</f>
        <v>98080</v>
      </c>
      <c r="J6" s="55">
        <f>Małopolski!E6</f>
        <v>124079</v>
      </c>
      <c r="K6" s="55">
        <f>Mazowiecki!E6</f>
        <v>207597</v>
      </c>
      <c r="L6" s="55">
        <f>Opolski!E6</f>
        <v>35020</v>
      </c>
      <c r="M6" s="55">
        <f>Podkarpacki!E6</f>
        <v>76439</v>
      </c>
      <c r="N6" s="55">
        <f>Podlaski!E6</f>
        <v>43407</v>
      </c>
      <c r="O6" s="55">
        <f>Pomorski!E6</f>
        <v>83118</v>
      </c>
      <c r="P6" s="55">
        <f>Śląski!E6</f>
        <v>174517</v>
      </c>
      <c r="Q6" s="55">
        <f>Świętokrzyski!E6</f>
        <v>48193</v>
      </c>
      <c r="R6" s="55">
        <f>WarmińskoMazurski!E6</f>
        <v>50381</v>
      </c>
      <c r="S6" s="55">
        <f>Wielkopolski!E6</f>
        <v>129109</v>
      </c>
      <c r="T6" s="55">
        <f>Zachodniopomorski!E6</f>
        <v>62255</v>
      </c>
      <c r="X6" s="72"/>
    </row>
    <row r="7" spans="1:24" ht="27.75" customHeight="1" x14ac:dyDescent="0.2">
      <c r="A7" s="93" t="s">
        <v>1</v>
      </c>
      <c r="B7" s="15" t="s">
        <v>119</v>
      </c>
      <c r="C7" s="57" t="str">
        <f>CENTRALA!E7</f>
        <v>-</v>
      </c>
      <c r="D7" s="56">
        <f>SUM(E7:T7)</f>
        <v>126143</v>
      </c>
      <c r="E7" s="57" t="str">
        <f>Dolnośląski!E7</f>
        <v>-</v>
      </c>
      <c r="F7" s="57">
        <f>KujawskoPomorski!E7</f>
        <v>3000</v>
      </c>
      <c r="G7" s="57">
        <f>Lubelski!E7</f>
        <v>12500</v>
      </c>
      <c r="H7" s="57">
        <f>Lubuski!E7</f>
        <v>1000</v>
      </c>
      <c r="I7" s="57">
        <f>Łódzki!E7</f>
        <v>23275</v>
      </c>
      <c r="J7" s="57">
        <f>Małopolski!E7</f>
        <v>12000</v>
      </c>
      <c r="K7" s="57">
        <f>Mazowiecki!E7</f>
        <v>47000</v>
      </c>
      <c r="L7" s="57" t="str">
        <f>Opolski!E7</f>
        <v>-</v>
      </c>
      <c r="M7" s="57">
        <f>Podkarpacki!E7</f>
        <v>9600</v>
      </c>
      <c r="N7" s="57" t="str">
        <f>Podlaski!E7</f>
        <v>-</v>
      </c>
      <c r="O7" s="57">
        <f>Pomorski!E7</f>
        <v>7768</v>
      </c>
      <c r="P7" s="57" t="str">
        <f>Śląski!E7</f>
        <v>-</v>
      </c>
      <c r="Q7" s="57">
        <f>Świętokrzyski!E7</f>
        <v>8000</v>
      </c>
      <c r="R7" s="57" t="str">
        <f>WarmińskoMazurski!E7</f>
        <v>-</v>
      </c>
      <c r="S7" s="57" t="str">
        <f>Wielkopolski!E7</f>
        <v>-</v>
      </c>
      <c r="T7" s="57">
        <f>Zachodniopomorski!E7</f>
        <v>2000</v>
      </c>
      <c r="X7" s="72"/>
    </row>
    <row r="8" spans="1:24" ht="27.75" customHeight="1" x14ac:dyDescent="0.2">
      <c r="A8" s="93" t="s">
        <v>2</v>
      </c>
      <c r="B8" s="15" t="s">
        <v>120</v>
      </c>
      <c r="C8" s="57" t="str">
        <f>CENTRALA!E8</f>
        <v>-</v>
      </c>
      <c r="D8" s="56">
        <f t="shared" ref="D8:D65" si="0">SUM(E8:T8)</f>
        <v>35700</v>
      </c>
      <c r="E8" s="57" t="str">
        <f>Dolnośląski!E8</f>
        <v>-</v>
      </c>
      <c r="F8" s="57">
        <f>KujawskoPomorski!E8</f>
        <v>6000</v>
      </c>
      <c r="G8" s="57" t="str">
        <f>Lubelski!E8</f>
        <v>-</v>
      </c>
      <c r="H8" s="57" t="str">
        <f>Lubuski!E8</f>
        <v>-</v>
      </c>
      <c r="I8" s="57">
        <f>Łódzki!E8</f>
        <v>4500</v>
      </c>
      <c r="J8" s="57" t="str">
        <f>Małopolski!E8</f>
        <v>-</v>
      </c>
      <c r="K8" s="57" t="str">
        <f>Mazowiecki!E8</f>
        <v>-</v>
      </c>
      <c r="L8" s="57">
        <f>Opolski!E8</f>
        <v>7000</v>
      </c>
      <c r="M8" s="57">
        <f>Podkarpacki!E8</f>
        <v>4200</v>
      </c>
      <c r="N8" s="57" t="str">
        <f>Podlaski!E8</f>
        <v>-</v>
      </c>
      <c r="O8" s="57" t="str">
        <f>Pomorski!E8</f>
        <v>-</v>
      </c>
      <c r="P8" s="57">
        <f>Śląski!E8</f>
        <v>10000</v>
      </c>
      <c r="Q8" s="57" t="str">
        <f>Świętokrzyski!E8</f>
        <v>-</v>
      </c>
      <c r="R8" s="57">
        <f>WarmińskoMazurski!E8</f>
        <v>4000</v>
      </c>
      <c r="S8" s="57" t="str">
        <f>Wielkopolski!E8</f>
        <v>-</v>
      </c>
      <c r="T8" s="57" t="str">
        <f>Zachodniopomorski!E8</f>
        <v>-</v>
      </c>
      <c r="X8" s="88"/>
    </row>
    <row r="9" spans="1:24" ht="27.75" customHeight="1" x14ac:dyDescent="0.2">
      <c r="A9" s="93" t="s">
        <v>3</v>
      </c>
      <c r="B9" s="15" t="s">
        <v>117</v>
      </c>
      <c r="C9" s="57" t="str">
        <f>CENTRALA!E9</f>
        <v>-</v>
      </c>
      <c r="D9" s="56">
        <f t="shared" si="0"/>
        <v>938603</v>
      </c>
      <c r="E9" s="57">
        <f>Dolnośląski!E9</f>
        <v>70760</v>
      </c>
      <c r="F9" s="57">
        <f>KujawskoPomorski!E9</f>
        <v>50727</v>
      </c>
      <c r="G9" s="57">
        <f>Lubelski!E9</f>
        <v>68649</v>
      </c>
      <c r="H9" s="57">
        <f>Lubuski!E9</f>
        <v>33895</v>
      </c>
      <c r="I9" s="57">
        <f>Łódzki!E9</f>
        <v>55225</v>
      </c>
      <c r="J9" s="57">
        <f>Małopolski!E9</f>
        <v>60579</v>
      </c>
      <c r="K9" s="57">
        <f>Mazowiecki!E9</f>
        <v>121897</v>
      </c>
      <c r="L9" s="57">
        <f>Opolski!E9</f>
        <v>10420</v>
      </c>
      <c r="M9" s="57">
        <f>Podkarpacki!E9</f>
        <v>32439</v>
      </c>
      <c r="N9" s="57">
        <f>Podlaski!E9</f>
        <v>43407</v>
      </c>
      <c r="O9" s="57">
        <f>Pomorski!E9</f>
        <v>68500</v>
      </c>
      <c r="P9" s="57">
        <f>Śląski!E9</f>
        <v>83217</v>
      </c>
      <c r="Q9" s="57">
        <f>Świętokrzyski!E9</f>
        <v>28643</v>
      </c>
      <c r="R9" s="57">
        <f>WarmińskoMazurski!E9</f>
        <v>33381</v>
      </c>
      <c r="S9" s="57">
        <f>Wielkopolski!E9</f>
        <v>129109</v>
      </c>
      <c r="T9" s="57">
        <f>Zachodniopomorski!E9</f>
        <v>47755</v>
      </c>
    </row>
    <row r="10" spans="1:24" ht="24.75" customHeight="1" x14ac:dyDescent="0.2">
      <c r="A10" s="94" t="s">
        <v>56</v>
      </c>
      <c r="B10" s="89" t="s">
        <v>142</v>
      </c>
      <c r="C10" s="57" t="str">
        <f>CENTRALA!E10</f>
        <v>-</v>
      </c>
      <c r="D10" s="56">
        <f t="shared" si="0"/>
        <v>4838</v>
      </c>
      <c r="E10" s="57">
        <f>Dolnośląski!E10</f>
        <v>2538</v>
      </c>
      <c r="F10" s="57" t="str">
        <f>KujawskoPomorski!E10</f>
        <v>-</v>
      </c>
      <c r="G10" s="57" t="str">
        <f>Lubelski!E10</f>
        <v>-</v>
      </c>
      <c r="H10" s="57" t="str">
        <f>Lubuski!E10</f>
        <v>-</v>
      </c>
      <c r="I10" s="57" t="str">
        <f>Łódzki!E10</f>
        <v>-</v>
      </c>
      <c r="J10" s="57" t="str">
        <f>Małopolski!E10</f>
        <v>-</v>
      </c>
      <c r="K10" s="57">
        <f>Mazowiecki!E10</f>
        <v>2000</v>
      </c>
      <c r="L10" s="57" t="str">
        <f>Opolski!E10</f>
        <v>-</v>
      </c>
      <c r="M10" s="57">
        <f>Podkarpacki!E10</f>
        <v>300</v>
      </c>
      <c r="N10" s="57" t="str">
        <f>Podlaski!E10</f>
        <v>-</v>
      </c>
      <c r="O10" s="57" t="str">
        <f>Pomorski!E10</f>
        <v>-</v>
      </c>
      <c r="P10" s="57" t="str">
        <f>Śląski!E10</f>
        <v>-</v>
      </c>
      <c r="Q10" s="57" t="str">
        <f>Świętokrzyski!E10</f>
        <v>-</v>
      </c>
      <c r="R10" s="57" t="str">
        <f>WarmińskoMazurski!E10</f>
        <v>-</v>
      </c>
      <c r="S10" s="57" t="str">
        <f>Wielkopolski!E10</f>
        <v>-</v>
      </c>
      <c r="T10" s="57" t="str">
        <f>Zachodniopomorski!E10</f>
        <v>-</v>
      </c>
    </row>
    <row r="11" spans="1:24" ht="24.75" customHeight="1" x14ac:dyDescent="0.2">
      <c r="A11" s="94" t="s">
        <v>143</v>
      </c>
      <c r="B11" s="89" t="s">
        <v>146</v>
      </c>
      <c r="C11" s="57" t="str">
        <f>CENTRALA!E11</f>
        <v>-</v>
      </c>
      <c r="D11" s="56">
        <f t="shared" si="0"/>
        <v>0</v>
      </c>
      <c r="E11" s="57" t="str">
        <f>Dolnośląski!E11</f>
        <v>-</v>
      </c>
      <c r="F11" s="57" t="str">
        <f>KujawskoPomorski!E11</f>
        <v>-</v>
      </c>
      <c r="G11" s="57" t="str">
        <f>Lubelski!E11</f>
        <v>-</v>
      </c>
      <c r="H11" s="57" t="str">
        <f>Lubuski!E11</f>
        <v>-</v>
      </c>
      <c r="I11" s="57" t="str">
        <f>Łódzki!E11</f>
        <v>-</v>
      </c>
      <c r="J11" s="57" t="str">
        <f>Małopolski!E11</f>
        <v>-</v>
      </c>
      <c r="K11" s="57" t="str">
        <f>Mazowiecki!E11</f>
        <v>-</v>
      </c>
      <c r="L11" s="57" t="str">
        <f>Opolski!E11</f>
        <v>-</v>
      </c>
      <c r="M11" s="57" t="str">
        <f>Podkarpacki!E11</f>
        <v>-</v>
      </c>
      <c r="N11" s="57" t="str">
        <f>Podlaski!E11</f>
        <v>-</v>
      </c>
      <c r="O11" s="57" t="str">
        <f>Pomorski!E11</f>
        <v>-</v>
      </c>
      <c r="P11" s="57" t="str">
        <f>Śląski!E11</f>
        <v>-</v>
      </c>
      <c r="Q11" s="57" t="str">
        <f>Świętokrzyski!E11</f>
        <v>-</v>
      </c>
      <c r="R11" s="57" t="str">
        <f>WarmińskoMazurski!E11</f>
        <v>-</v>
      </c>
      <c r="S11" s="57" t="str">
        <f>Wielkopolski!E11</f>
        <v>-</v>
      </c>
      <c r="T11" s="57" t="str">
        <f>Zachodniopomorski!E11</f>
        <v>-</v>
      </c>
    </row>
    <row r="12" spans="1:24" ht="24.75" customHeight="1" x14ac:dyDescent="0.2">
      <c r="A12" s="94" t="s">
        <v>144</v>
      </c>
      <c r="B12" s="89" t="s">
        <v>147</v>
      </c>
      <c r="C12" s="57" t="str">
        <f>CENTRALA!E12</f>
        <v>-</v>
      </c>
      <c r="D12" s="56">
        <f t="shared" si="0"/>
        <v>200</v>
      </c>
      <c r="E12" s="57" t="str">
        <f>Dolnośląski!E12</f>
        <v>-</v>
      </c>
      <c r="F12" s="57" t="str">
        <f>KujawskoPomorski!E12</f>
        <v>-</v>
      </c>
      <c r="G12" s="57" t="str">
        <f>Lubelski!E12</f>
        <v>-</v>
      </c>
      <c r="H12" s="57" t="str">
        <f>Lubuski!E12</f>
        <v>-</v>
      </c>
      <c r="I12" s="57" t="str">
        <f>Łódzki!E12</f>
        <v>-</v>
      </c>
      <c r="J12" s="57" t="str">
        <f>Małopolski!E12</f>
        <v>-</v>
      </c>
      <c r="K12" s="57" t="str">
        <f>Mazowiecki!E12</f>
        <v>-</v>
      </c>
      <c r="L12" s="57" t="str">
        <f>Opolski!E12</f>
        <v>-</v>
      </c>
      <c r="M12" s="57">
        <f>Podkarpacki!E12</f>
        <v>200</v>
      </c>
      <c r="N12" s="57" t="str">
        <f>Podlaski!E12</f>
        <v>-</v>
      </c>
      <c r="O12" s="57" t="str">
        <f>Pomorski!E12</f>
        <v>-</v>
      </c>
      <c r="P12" s="57" t="str">
        <f>Śląski!E12</f>
        <v>-</v>
      </c>
      <c r="Q12" s="57" t="str">
        <f>Świętokrzyski!E12</f>
        <v>-</v>
      </c>
      <c r="R12" s="57" t="str">
        <f>WarmińskoMazurski!E12</f>
        <v>-</v>
      </c>
      <c r="S12" s="57" t="str">
        <f>Wielkopolski!E12</f>
        <v>-</v>
      </c>
      <c r="T12" s="57" t="str">
        <f>Zachodniopomorski!E12</f>
        <v>-</v>
      </c>
    </row>
    <row r="13" spans="1:24" ht="24.75" customHeight="1" x14ac:dyDescent="0.2">
      <c r="A13" s="94" t="s">
        <v>145</v>
      </c>
      <c r="B13" s="89" t="s">
        <v>148</v>
      </c>
      <c r="C13" s="57" t="str">
        <f>CENTRALA!E13</f>
        <v>-</v>
      </c>
      <c r="D13" s="56">
        <f t="shared" si="0"/>
        <v>0</v>
      </c>
      <c r="E13" s="57" t="str">
        <f>Dolnośląski!E13</f>
        <v>-</v>
      </c>
      <c r="F13" s="57" t="str">
        <f>KujawskoPomorski!E13</f>
        <v>-</v>
      </c>
      <c r="G13" s="57" t="str">
        <f>Lubelski!E13</f>
        <v>-</v>
      </c>
      <c r="H13" s="57" t="str">
        <f>Lubuski!E13</f>
        <v>-</v>
      </c>
      <c r="I13" s="57" t="str">
        <f>Łódzki!E13</f>
        <v>-</v>
      </c>
      <c r="J13" s="57" t="str">
        <f>Małopolski!E13</f>
        <v>-</v>
      </c>
      <c r="K13" s="57" t="str">
        <f>Mazowiecki!E13</f>
        <v>-</v>
      </c>
      <c r="L13" s="57" t="str">
        <f>Opolski!E13</f>
        <v>-</v>
      </c>
      <c r="M13" s="57" t="str">
        <f>Podkarpacki!E13</f>
        <v>-</v>
      </c>
      <c r="N13" s="57" t="str">
        <f>Podlaski!E13</f>
        <v>-</v>
      </c>
      <c r="O13" s="57" t="str">
        <f>Pomorski!E13</f>
        <v>-</v>
      </c>
      <c r="P13" s="57" t="str">
        <f>Śląski!E13</f>
        <v>-</v>
      </c>
      <c r="Q13" s="57" t="str">
        <f>Świętokrzyski!E13</f>
        <v>-</v>
      </c>
      <c r="R13" s="57" t="str">
        <f>WarmińskoMazurski!E13</f>
        <v>-</v>
      </c>
      <c r="S13" s="57" t="str">
        <f>Wielkopolski!E13</f>
        <v>-</v>
      </c>
      <c r="T13" s="57" t="str">
        <f>Zachodniopomorski!E13</f>
        <v>-</v>
      </c>
    </row>
    <row r="14" spans="1:24" ht="27.75" customHeight="1" x14ac:dyDescent="0.2">
      <c r="A14" s="93" t="s">
        <v>4</v>
      </c>
      <c r="B14" s="15" t="s">
        <v>125</v>
      </c>
      <c r="C14" s="57" t="str">
        <f>CENTRALA!E14</f>
        <v>-</v>
      </c>
      <c r="D14" s="56">
        <f t="shared" si="0"/>
        <v>7500</v>
      </c>
      <c r="E14" s="57">
        <f>Dolnośląski!E14</f>
        <v>3800</v>
      </c>
      <c r="F14" s="57" t="str">
        <f>KujawskoPomorski!E14</f>
        <v>-</v>
      </c>
      <c r="G14" s="57" t="str">
        <f>Lubelski!E14</f>
        <v>-</v>
      </c>
      <c r="H14" s="57" t="str">
        <f>Lubuski!E14</f>
        <v>-</v>
      </c>
      <c r="I14" s="57" t="str">
        <f>Łódzki!E14</f>
        <v>-</v>
      </c>
      <c r="J14" s="57" t="str">
        <f>Małopolski!E14</f>
        <v>-</v>
      </c>
      <c r="K14" s="57">
        <f>Mazowiecki!E14</f>
        <v>1700</v>
      </c>
      <c r="L14" s="57">
        <f>Opolski!E14</f>
        <v>1500</v>
      </c>
      <c r="M14" s="57" t="str">
        <f>Podkarpacki!E14</f>
        <v>-</v>
      </c>
      <c r="N14" s="57" t="str">
        <f>Podlaski!E14</f>
        <v>-</v>
      </c>
      <c r="O14" s="57" t="str">
        <f>Pomorski!E14</f>
        <v>-</v>
      </c>
      <c r="P14" s="57" t="str">
        <f>Śląski!E14</f>
        <v>-</v>
      </c>
      <c r="Q14" s="57" t="str">
        <f>Świętokrzyski!E14</f>
        <v>-</v>
      </c>
      <c r="R14" s="57" t="str">
        <f>WarmińskoMazurski!E14</f>
        <v>-</v>
      </c>
      <c r="S14" s="57" t="str">
        <f>Wielkopolski!E14</f>
        <v>-</v>
      </c>
      <c r="T14" s="57">
        <f>Zachodniopomorski!E14</f>
        <v>500</v>
      </c>
    </row>
    <row r="15" spans="1:24" ht="27.75" customHeight="1" x14ac:dyDescent="0.2">
      <c r="A15" s="93" t="s">
        <v>5</v>
      </c>
      <c r="B15" s="15" t="s">
        <v>121</v>
      </c>
      <c r="C15" s="57" t="str">
        <f>CENTRALA!E15</f>
        <v>-</v>
      </c>
      <c r="D15" s="56">
        <f t="shared" si="0"/>
        <v>10680</v>
      </c>
      <c r="E15" s="57">
        <f>Dolnośląski!E15</f>
        <v>2680</v>
      </c>
      <c r="F15" s="57">
        <f>KujawskoPomorski!E15</f>
        <v>500</v>
      </c>
      <c r="G15" s="57" t="str">
        <f>Lubelski!E15</f>
        <v>-</v>
      </c>
      <c r="H15" s="57">
        <f>Lubuski!E15</f>
        <v>1000</v>
      </c>
      <c r="I15" s="57" t="str">
        <f>Łódzki!E15</f>
        <v>-</v>
      </c>
      <c r="J15" s="57" t="str">
        <f>Małopolski!E15</f>
        <v>-</v>
      </c>
      <c r="K15" s="57" t="str">
        <f>Mazowiecki!E15</f>
        <v>-</v>
      </c>
      <c r="L15" s="57">
        <f>Opolski!E15</f>
        <v>1000</v>
      </c>
      <c r="M15" s="57">
        <f>Podkarpacki!E15</f>
        <v>5000</v>
      </c>
      <c r="N15" s="57" t="str">
        <f>Podlaski!E15</f>
        <v>-</v>
      </c>
      <c r="O15" s="57">
        <f>Pomorski!E15</f>
        <v>500</v>
      </c>
      <c r="P15" s="57" t="str">
        <f>Śląski!E15</f>
        <v>-</v>
      </c>
      <c r="Q15" s="57" t="str">
        <f>Świętokrzyski!E15</f>
        <v>-</v>
      </c>
      <c r="R15" s="57" t="str">
        <f>WarmińskoMazurski!E15</f>
        <v>-</v>
      </c>
      <c r="S15" s="57" t="str">
        <f>Wielkopolski!E15</f>
        <v>-</v>
      </c>
      <c r="T15" s="57" t="str">
        <f>Zachodniopomorski!E15</f>
        <v>-</v>
      </c>
    </row>
    <row r="16" spans="1:24" ht="27.75" customHeight="1" x14ac:dyDescent="0.2">
      <c r="A16" s="93" t="s">
        <v>6</v>
      </c>
      <c r="B16" s="15" t="s">
        <v>127</v>
      </c>
      <c r="C16" s="57" t="str">
        <f>CENTRALA!E16</f>
        <v>-</v>
      </c>
      <c r="D16" s="56">
        <f t="shared" si="0"/>
        <v>21370</v>
      </c>
      <c r="E16" s="57">
        <f>Dolnośląski!E16</f>
        <v>5270</v>
      </c>
      <c r="F16" s="57">
        <f>KujawskoPomorski!E16</f>
        <v>150</v>
      </c>
      <c r="G16" s="57" t="str">
        <f>Lubelski!E16</f>
        <v>-</v>
      </c>
      <c r="H16" s="57" t="str">
        <f>Lubuski!E16</f>
        <v>-</v>
      </c>
      <c r="I16" s="57" t="str">
        <f>Łódzki!E16</f>
        <v>-</v>
      </c>
      <c r="J16" s="57" t="str">
        <f>Małopolski!E16</f>
        <v>-</v>
      </c>
      <c r="K16" s="57" t="str">
        <f>Mazowiecki!E16</f>
        <v>-</v>
      </c>
      <c r="L16" s="57">
        <f>Opolski!E16</f>
        <v>1600</v>
      </c>
      <c r="M16" s="57">
        <f>Podkarpacki!E16</f>
        <v>5000</v>
      </c>
      <c r="N16" s="57" t="str">
        <f>Podlaski!E16</f>
        <v>-</v>
      </c>
      <c r="O16" s="57">
        <f>Pomorski!E16</f>
        <v>3350</v>
      </c>
      <c r="P16" s="57">
        <f>Śląski!E16</f>
        <v>5000</v>
      </c>
      <c r="Q16" s="57" t="str">
        <f>Świętokrzyski!E16</f>
        <v>-</v>
      </c>
      <c r="R16" s="57" t="str">
        <f>WarmińskoMazurski!E16</f>
        <v>-</v>
      </c>
      <c r="S16" s="57" t="str">
        <f>Wielkopolski!E16</f>
        <v>-</v>
      </c>
      <c r="T16" s="57">
        <f>Zachodniopomorski!E16</f>
        <v>1000</v>
      </c>
    </row>
    <row r="17" spans="1:20" ht="27.75" customHeight="1" x14ac:dyDescent="0.2">
      <c r="A17" s="93" t="s">
        <v>7</v>
      </c>
      <c r="B17" s="15" t="s">
        <v>126</v>
      </c>
      <c r="C17" s="57" t="str">
        <f>CENTRALA!E17</f>
        <v>-</v>
      </c>
      <c r="D17" s="56">
        <f t="shared" si="0"/>
        <v>14679</v>
      </c>
      <c r="E17" s="57">
        <f>Dolnośląski!E17</f>
        <v>4079</v>
      </c>
      <c r="F17" s="57" t="str">
        <f>KujawskoPomorski!E17</f>
        <v>-</v>
      </c>
      <c r="G17" s="57" t="str">
        <f>Lubelski!E17</f>
        <v>-</v>
      </c>
      <c r="H17" s="57" t="str">
        <f>Lubuski!E17</f>
        <v>-</v>
      </c>
      <c r="I17" s="57" t="str">
        <f>Łódzki!E17</f>
        <v>-</v>
      </c>
      <c r="J17" s="57" t="str">
        <f>Małopolski!E17</f>
        <v>-</v>
      </c>
      <c r="K17" s="57" t="str">
        <f>Mazowiecki!E17</f>
        <v>-</v>
      </c>
      <c r="L17" s="57">
        <f>Opolski!E17</f>
        <v>1500</v>
      </c>
      <c r="M17" s="57">
        <f>Podkarpacki!E17</f>
        <v>2800</v>
      </c>
      <c r="N17" s="57" t="str">
        <f>Podlaski!E17</f>
        <v>-</v>
      </c>
      <c r="O17" s="57" t="str">
        <f>Pomorski!E17</f>
        <v>-</v>
      </c>
      <c r="P17" s="57">
        <f>Śląski!E17</f>
        <v>5300</v>
      </c>
      <c r="Q17" s="57" t="str">
        <f>Świętokrzyski!E17</f>
        <v>-</v>
      </c>
      <c r="R17" s="57" t="str">
        <f>WarmińskoMazurski!E17</f>
        <v>-</v>
      </c>
      <c r="S17" s="57" t="str">
        <f>Wielkopolski!E17</f>
        <v>-</v>
      </c>
      <c r="T17" s="57">
        <f>Zachodniopomorski!E17</f>
        <v>1000</v>
      </c>
    </row>
    <row r="18" spans="1:20" ht="27.75" customHeight="1" x14ac:dyDescent="0.2">
      <c r="A18" s="93" t="s">
        <v>8</v>
      </c>
      <c r="B18" s="15" t="s">
        <v>122</v>
      </c>
      <c r="C18" s="57" t="str">
        <f>CENTRALA!E18</f>
        <v>-</v>
      </c>
      <c r="D18" s="56">
        <f t="shared" si="0"/>
        <v>0</v>
      </c>
      <c r="E18" s="57" t="str">
        <f>Dolnośląski!E18</f>
        <v>-</v>
      </c>
      <c r="F18" s="57" t="str">
        <f>KujawskoPomorski!E18</f>
        <v>-</v>
      </c>
      <c r="G18" s="57" t="str">
        <f>Lubelski!E18</f>
        <v>-</v>
      </c>
      <c r="H18" s="57" t="str">
        <f>Lubuski!E18</f>
        <v>-</v>
      </c>
      <c r="I18" s="57" t="str">
        <f>Łódzki!E18</f>
        <v>-</v>
      </c>
      <c r="J18" s="57" t="str">
        <f>Małopolski!E18</f>
        <v>-</v>
      </c>
      <c r="K18" s="57" t="str">
        <f>Mazowiecki!E18</f>
        <v>-</v>
      </c>
      <c r="L18" s="57" t="str">
        <f>Opolski!E18</f>
        <v>-</v>
      </c>
      <c r="M18" s="57" t="str">
        <f>Podkarpacki!E18</f>
        <v>-</v>
      </c>
      <c r="N18" s="57" t="str">
        <f>Podlaski!E18</f>
        <v>-</v>
      </c>
      <c r="O18" s="57" t="str">
        <f>Pomorski!E18</f>
        <v>-</v>
      </c>
      <c r="P18" s="57" t="str">
        <f>Śląski!E18</f>
        <v>-</v>
      </c>
      <c r="Q18" s="57" t="str">
        <f>Świętokrzyski!E18</f>
        <v>-</v>
      </c>
      <c r="R18" s="57" t="str">
        <f>WarmińskoMazurski!E18</f>
        <v>-</v>
      </c>
      <c r="S18" s="57" t="str">
        <f>Wielkopolski!E18</f>
        <v>-</v>
      </c>
      <c r="T18" s="57" t="str">
        <f>Zachodniopomorski!E18</f>
        <v>-</v>
      </c>
    </row>
    <row r="19" spans="1:20" ht="27.75" customHeight="1" x14ac:dyDescent="0.2">
      <c r="A19" s="93" t="s">
        <v>9</v>
      </c>
      <c r="B19" s="15" t="s">
        <v>123</v>
      </c>
      <c r="C19" s="57" t="str">
        <f>CENTRALA!E19</f>
        <v>-</v>
      </c>
      <c r="D19" s="56">
        <f t="shared" si="0"/>
        <v>500</v>
      </c>
      <c r="E19" s="57" t="str">
        <f>Dolnośląski!E19</f>
        <v>-</v>
      </c>
      <c r="F19" s="57" t="str">
        <f>KujawskoPomorski!E19</f>
        <v>-</v>
      </c>
      <c r="G19" s="57" t="str">
        <f>Lubelski!E19</f>
        <v>-</v>
      </c>
      <c r="H19" s="57" t="str">
        <f>Lubuski!E19</f>
        <v>-</v>
      </c>
      <c r="I19" s="57" t="str">
        <f>Łódzki!E19</f>
        <v>-</v>
      </c>
      <c r="J19" s="57" t="str">
        <f>Małopolski!E19</f>
        <v>-</v>
      </c>
      <c r="K19" s="57" t="str">
        <f>Mazowiecki!E19</f>
        <v>-</v>
      </c>
      <c r="L19" s="57" t="str">
        <f>Opolski!E19</f>
        <v>-</v>
      </c>
      <c r="M19" s="57" t="str">
        <f>Podkarpacki!E19</f>
        <v>-</v>
      </c>
      <c r="N19" s="57" t="str">
        <f>Podlaski!E19</f>
        <v>-</v>
      </c>
      <c r="O19" s="57" t="str">
        <f>Pomorski!E19</f>
        <v>-</v>
      </c>
      <c r="P19" s="57" t="str">
        <f>Śląski!E19</f>
        <v>-</v>
      </c>
      <c r="Q19" s="57" t="str">
        <f>Świętokrzyski!E19</f>
        <v>-</v>
      </c>
      <c r="R19" s="57" t="str">
        <f>WarmińskoMazurski!E19</f>
        <v>-</v>
      </c>
      <c r="S19" s="57" t="str">
        <f>Wielkopolski!E19</f>
        <v>-</v>
      </c>
      <c r="T19" s="57">
        <f>Zachodniopomorski!E19</f>
        <v>500</v>
      </c>
    </row>
    <row r="20" spans="1:20" ht="27.75" customHeight="1" x14ac:dyDescent="0.2">
      <c r="A20" s="93" t="s">
        <v>10</v>
      </c>
      <c r="B20" s="15" t="s">
        <v>128</v>
      </c>
      <c r="C20" s="57" t="str">
        <f>CENTRALA!E20</f>
        <v>-</v>
      </c>
      <c r="D20" s="56">
        <f t="shared" si="0"/>
        <v>0</v>
      </c>
      <c r="E20" s="57" t="str">
        <f>Dolnośląski!E20</f>
        <v>-</v>
      </c>
      <c r="F20" s="57" t="str">
        <f>KujawskoPomorski!E20</f>
        <v>-</v>
      </c>
      <c r="G20" s="57" t="str">
        <f>Lubelski!E20</f>
        <v>-</v>
      </c>
      <c r="H20" s="57" t="str">
        <f>Lubuski!E20</f>
        <v>-</v>
      </c>
      <c r="I20" s="57" t="str">
        <f>Łódzki!E20</f>
        <v>-</v>
      </c>
      <c r="J20" s="57" t="str">
        <f>Małopolski!E20</f>
        <v>-</v>
      </c>
      <c r="K20" s="57" t="str">
        <f>Mazowiecki!E20</f>
        <v>-</v>
      </c>
      <c r="L20" s="57" t="str">
        <f>Opolski!E20</f>
        <v>-</v>
      </c>
      <c r="M20" s="57" t="str">
        <f>Podkarpacki!E20</f>
        <v>-</v>
      </c>
      <c r="N20" s="57" t="str">
        <f>Podlaski!E20</f>
        <v>-</v>
      </c>
      <c r="O20" s="57" t="str">
        <f>Pomorski!E20</f>
        <v>-</v>
      </c>
      <c r="P20" s="57" t="str">
        <f>Śląski!E20</f>
        <v>-</v>
      </c>
      <c r="Q20" s="57" t="str">
        <f>Świętokrzyski!E20</f>
        <v>-</v>
      </c>
      <c r="R20" s="57" t="str">
        <f>WarmińskoMazurski!E20</f>
        <v>-</v>
      </c>
      <c r="S20" s="57" t="str">
        <f>Wielkopolski!E20</f>
        <v>-</v>
      </c>
      <c r="T20" s="57" t="str">
        <f>Zachodniopomorski!E20</f>
        <v>-</v>
      </c>
    </row>
    <row r="21" spans="1:20" ht="45" customHeight="1" x14ac:dyDescent="0.2">
      <c r="A21" s="93" t="s">
        <v>11</v>
      </c>
      <c r="B21" s="15" t="s">
        <v>124</v>
      </c>
      <c r="C21" s="57" t="str">
        <f>CENTRALA!E21</f>
        <v>-</v>
      </c>
      <c r="D21" s="56">
        <f t="shared" si="0"/>
        <v>1000</v>
      </c>
      <c r="E21" s="57" t="str">
        <f>Dolnośląski!E21</f>
        <v>-</v>
      </c>
      <c r="F21" s="57" t="str">
        <f>KujawskoPomorski!E21</f>
        <v>-</v>
      </c>
      <c r="G21" s="57" t="str">
        <f>Lubelski!E21</f>
        <v>-</v>
      </c>
      <c r="H21" s="57" t="str">
        <f>Lubuski!E21</f>
        <v>-</v>
      </c>
      <c r="I21" s="57" t="str">
        <f>Łódzki!E21</f>
        <v>-</v>
      </c>
      <c r="J21" s="57" t="str">
        <f>Małopolski!E21</f>
        <v>-</v>
      </c>
      <c r="K21" s="57" t="str">
        <f>Mazowiecki!E21</f>
        <v>-</v>
      </c>
      <c r="L21" s="57">
        <f>Opolski!E21</f>
        <v>1000</v>
      </c>
      <c r="M21" s="57" t="str">
        <f>Podkarpacki!E21</f>
        <v>-</v>
      </c>
      <c r="N21" s="57" t="str">
        <f>Podlaski!E21</f>
        <v>-</v>
      </c>
      <c r="O21" s="57" t="str">
        <f>Pomorski!E21</f>
        <v>-</v>
      </c>
      <c r="P21" s="57" t="str">
        <f>Śląski!E21</f>
        <v>-</v>
      </c>
      <c r="Q21" s="57" t="str">
        <f>Świętokrzyski!E21</f>
        <v>-</v>
      </c>
      <c r="R21" s="57" t="str">
        <f>WarmińskoMazurski!E21</f>
        <v>-</v>
      </c>
      <c r="S21" s="57" t="str">
        <f>Wielkopolski!E21</f>
        <v>-</v>
      </c>
      <c r="T21" s="57" t="str">
        <f>Zachodniopomorski!E21</f>
        <v>-</v>
      </c>
    </row>
    <row r="22" spans="1:20" ht="27.75" customHeight="1" x14ac:dyDescent="0.2">
      <c r="A22" s="93" t="s">
        <v>12</v>
      </c>
      <c r="B22" s="15" t="s">
        <v>165</v>
      </c>
      <c r="C22" s="57" t="str">
        <f>CENTRALA!E22</f>
        <v>-</v>
      </c>
      <c r="D22" s="56">
        <f t="shared" si="0"/>
        <v>14416</v>
      </c>
      <c r="E22" s="57">
        <f>Dolnośląski!E22</f>
        <v>2216</v>
      </c>
      <c r="F22" s="57">
        <f>KujawskoPomorski!E22</f>
        <v>2200</v>
      </c>
      <c r="G22" s="57" t="str">
        <f>Lubelski!E22</f>
        <v>-</v>
      </c>
      <c r="H22" s="57">
        <f>Lubuski!E22</f>
        <v>1000</v>
      </c>
      <c r="I22" s="57" t="str">
        <f>Łódzki!E22</f>
        <v>-</v>
      </c>
      <c r="J22" s="57" t="str">
        <f>Małopolski!E22</f>
        <v>-</v>
      </c>
      <c r="K22" s="57" t="str">
        <f>Mazowiecki!E22</f>
        <v>-</v>
      </c>
      <c r="L22" s="57">
        <f>Opolski!E22</f>
        <v>4000</v>
      </c>
      <c r="M22" s="57" t="str">
        <f>Podkarpacki!E22</f>
        <v>-</v>
      </c>
      <c r="N22" s="57" t="str">
        <f>Podlaski!E22</f>
        <v>-</v>
      </c>
      <c r="O22" s="57">
        <f>Pomorski!E22</f>
        <v>3000</v>
      </c>
      <c r="P22" s="57" t="str">
        <f>Śląski!E22</f>
        <v>-</v>
      </c>
      <c r="Q22" s="57" t="str">
        <f>Świętokrzyski!E22</f>
        <v>-</v>
      </c>
      <c r="R22" s="57" t="str">
        <f>WarmińskoMazurski!E22</f>
        <v>-</v>
      </c>
      <c r="S22" s="57" t="str">
        <f>Wielkopolski!E22</f>
        <v>-</v>
      </c>
      <c r="T22" s="57">
        <f>Zachodniopomorski!E22</f>
        <v>2000</v>
      </c>
    </row>
    <row r="23" spans="1:20" ht="45" customHeight="1" x14ac:dyDescent="0.2">
      <c r="A23" s="93" t="s">
        <v>13</v>
      </c>
      <c r="B23" s="15" t="s">
        <v>149</v>
      </c>
      <c r="C23" s="57" t="str">
        <f>CENTRALA!E23</f>
        <v>-</v>
      </c>
      <c r="D23" s="56">
        <f t="shared" si="0"/>
        <v>19500</v>
      </c>
      <c r="E23" s="57" t="str">
        <f>Dolnośląski!E23</f>
        <v>-</v>
      </c>
      <c r="F23" s="57">
        <f>KujawskoPomorski!E23</f>
        <v>4000</v>
      </c>
      <c r="G23" s="57" t="str">
        <f>Lubelski!E23</f>
        <v>-</v>
      </c>
      <c r="H23" s="57" t="str">
        <f>Lubuski!E23</f>
        <v>-</v>
      </c>
      <c r="I23" s="57" t="str">
        <f>Łódzki!E23</f>
        <v>-</v>
      </c>
      <c r="J23" s="57">
        <f>Małopolski!E23</f>
        <v>3000</v>
      </c>
      <c r="K23" s="57" t="str">
        <f>Mazowiecki!E23</f>
        <v>-</v>
      </c>
      <c r="L23" s="57">
        <f>Opolski!E23</f>
        <v>3000</v>
      </c>
      <c r="M23" s="57">
        <f>Podkarpacki!E23</f>
        <v>8000</v>
      </c>
      <c r="N23" s="57" t="str">
        <f>Podlaski!E23</f>
        <v>-</v>
      </c>
      <c r="O23" s="57" t="str">
        <f>Pomorski!E23</f>
        <v>-</v>
      </c>
      <c r="P23" s="57" t="str">
        <f>Śląski!E23</f>
        <v>-</v>
      </c>
      <c r="Q23" s="57" t="str">
        <f>Świętokrzyski!E23</f>
        <v>-</v>
      </c>
      <c r="R23" s="57">
        <f>WarmińskoMazurski!E23</f>
        <v>1000</v>
      </c>
      <c r="S23" s="57" t="str">
        <f>Wielkopolski!E23</f>
        <v>-</v>
      </c>
      <c r="T23" s="57">
        <f>Zachodniopomorski!E23</f>
        <v>500</v>
      </c>
    </row>
    <row r="24" spans="1:20" ht="27.75" customHeight="1" x14ac:dyDescent="0.2">
      <c r="A24" s="95" t="s">
        <v>14</v>
      </c>
      <c r="B24" s="35" t="s">
        <v>222</v>
      </c>
      <c r="C24" s="57" t="str">
        <f>CENTRALA!E24</f>
        <v>-</v>
      </c>
      <c r="D24" s="56">
        <f t="shared" si="0"/>
        <v>0</v>
      </c>
      <c r="E24" s="57" t="str">
        <f>Dolnośląski!E24</f>
        <v>-</v>
      </c>
      <c r="F24" s="57" t="str">
        <f>KujawskoPomorski!E24</f>
        <v>-</v>
      </c>
      <c r="G24" s="57" t="str">
        <f>Lubelski!E24</f>
        <v>-</v>
      </c>
      <c r="H24" s="57" t="str">
        <f>Lubuski!E24</f>
        <v>-</v>
      </c>
      <c r="I24" s="57" t="str">
        <f>Łódzki!E24</f>
        <v>-</v>
      </c>
      <c r="J24" s="57" t="str">
        <f>Małopolski!E24</f>
        <v>-</v>
      </c>
      <c r="K24" s="57" t="str">
        <f>Mazowiecki!E24</f>
        <v>-</v>
      </c>
      <c r="L24" s="57" t="str">
        <f>Opolski!E24</f>
        <v>-</v>
      </c>
      <c r="M24" s="57" t="str">
        <f>Podkarpacki!E24</f>
        <v>-</v>
      </c>
      <c r="N24" s="57" t="str">
        <f>Podlaski!E24</f>
        <v>-</v>
      </c>
      <c r="O24" s="57" t="str">
        <f>Pomorski!E24</f>
        <v>-</v>
      </c>
      <c r="P24" s="57" t="str">
        <f>Śląski!E24</f>
        <v>-</v>
      </c>
      <c r="Q24" s="57" t="str">
        <f>Świętokrzyski!E24</f>
        <v>-</v>
      </c>
      <c r="R24" s="57" t="str">
        <f>WarmińskoMazurski!E24</f>
        <v>-</v>
      </c>
      <c r="S24" s="57" t="str">
        <f>Wielkopolski!E24</f>
        <v>-</v>
      </c>
      <c r="T24" s="57" t="str">
        <f>Zachodniopomorski!E24</f>
        <v>-</v>
      </c>
    </row>
    <row r="25" spans="1:20" ht="37.5" x14ac:dyDescent="0.2">
      <c r="A25" s="94" t="s">
        <v>129</v>
      </c>
      <c r="B25" s="89" t="s">
        <v>151</v>
      </c>
      <c r="C25" s="57" t="str">
        <f>CENTRALA!E25</f>
        <v>-</v>
      </c>
      <c r="D25" s="56">
        <f t="shared" si="0"/>
        <v>0</v>
      </c>
      <c r="E25" s="57" t="str">
        <f>Dolnośląski!E25</f>
        <v>-</v>
      </c>
      <c r="F25" s="57" t="str">
        <f>KujawskoPomorski!E25</f>
        <v>-</v>
      </c>
      <c r="G25" s="57" t="str">
        <f>Lubelski!E25</f>
        <v>-</v>
      </c>
      <c r="H25" s="57" t="str">
        <f>Lubuski!E25</f>
        <v>-</v>
      </c>
      <c r="I25" s="57" t="str">
        <f>Łódzki!E25</f>
        <v>-</v>
      </c>
      <c r="J25" s="57" t="str">
        <f>Małopolski!E25</f>
        <v>-</v>
      </c>
      <c r="K25" s="57" t="str">
        <f>Mazowiecki!E25</f>
        <v>-</v>
      </c>
      <c r="L25" s="57" t="str">
        <f>Opolski!E25</f>
        <v>-</v>
      </c>
      <c r="M25" s="57" t="str">
        <f>Podkarpacki!E25</f>
        <v>-</v>
      </c>
      <c r="N25" s="57" t="str">
        <f>Podlaski!E25</f>
        <v>-</v>
      </c>
      <c r="O25" s="57" t="str">
        <f>Pomorski!E25</f>
        <v>-</v>
      </c>
      <c r="P25" s="57" t="str">
        <f>Śląski!E25</f>
        <v>-</v>
      </c>
      <c r="Q25" s="57" t="str">
        <f>Świętokrzyski!E25</f>
        <v>-</v>
      </c>
      <c r="R25" s="57" t="str">
        <f>WarmińskoMazurski!E25</f>
        <v>-</v>
      </c>
      <c r="S25" s="57" t="str">
        <f>Wielkopolski!E25</f>
        <v>-</v>
      </c>
      <c r="T25" s="57" t="str">
        <f>Zachodniopomorski!E25</f>
        <v>-</v>
      </c>
    </row>
    <row r="26" spans="1:20" ht="27.75" customHeight="1" x14ac:dyDescent="0.2">
      <c r="A26" s="94" t="s">
        <v>150</v>
      </c>
      <c r="B26" s="89" t="s">
        <v>153</v>
      </c>
      <c r="C26" s="57" t="str">
        <f>CENTRALA!E26</f>
        <v>-</v>
      </c>
      <c r="D26" s="56">
        <f t="shared" si="0"/>
        <v>0</v>
      </c>
      <c r="E26" s="57" t="str">
        <f>Dolnośląski!E26</f>
        <v>-</v>
      </c>
      <c r="F26" s="57" t="str">
        <f>KujawskoPomorski!E26</f>
        <v>-</v>
      </c>
      <c r="G26" s="57" t="str">
        <f>Lubelski!E26</f>
        <v>-</v>
      </c>
      <c r="H26" s="57" t="str">
        <f>Lubuski!E26</f>
        <v>-</v>
      </c>
      <c r="I26" s="57" t="str">
        <f>Łódzki!E26</f>
        <v>-</v>
      </c>
      <c r="J26" s="57" t="str">
        <f>Małopolski!E26</f>
        <v>-</v>
      </c>
      <c r="K26" s="57" t="str">
        <f>Mazowiecki!E26</f>
        <v>-</v>
      </c>
      <c r="L26" s="57" t="str">
        <f>Opolski!E26</f>
        <v>-</v>
      </c>
      <c r="M26" s="57" t="str">
        <f>Podkarpacki!E26</f>
        <v>-</v>
      </c>
      <c r="N26" s="57" t="str">
        <f>Podlaski!E26</f>
        <v>-</v>
      </c>
      <c r="O26" s="57" t="str">
        <f>Pomorski!E26</f>
        <v>-</v>
      </c>
      <c r="P26" s="57" t="str">
        <f>Śląski!E26</f>
        <v>-</v>
      </c>
      <c r="Q26" s="57" t="str">
        <f>Świętokrzyski!E26</f>
        <v>-</v>
      </c>
      <c r="R26" s="57" t="str">
        <f>WarmińskoMazurski!E26</f>
        <v>-</v>
      </c>
      <c r="S26" s="57" t="str">
        <f>Wielkopolski!E26</f>
        <v>-</v>
      </c>
      <c r="T26" s="57" t="str">
        <f>Zachodniopomorski!E26</f>
        <v>-</v>
      </c>
    </row>
    <row r="27" spans="1:20" ht="37.5" x14ac:dyDescent="0.2">
      <c r="A27" s="94" t="s">
        <v>154</v>
      </c>
      <c r="B27" s="89" t="s">
        <v>152</v>
      </c>
      <c r="C27" s="57" t="str">
        <f>CENTRALA!E27</f>
        <v>-</v>
      </c>
      <c r="D27" s="56">
        <f t="shared" si="0"/>
        <v>0</v>
      </c>
      <c r="E27" s="57" t="str">
        <f>Dolnośląski!E27</f>
        <v>-</v>
      </c>
      <c r="F27" s="57" t="str">
        <f>KujawskoPomorski!E27</f>
        <v>-</v>
      </c>
      <c r="G27" s="57" t="str">
        <f>Lubelski!E27</f>
        <v>-</v>
      </c>
      <c r="H27" s="57" t="str">
        <f>Lubuski!E27</f>
        <v>-</v>
      </c>
      <c r="I27" s="57" t="str">
        <f>Łódzki!E27</f>
        <v>-</v>
      </c>
      <c r="J27" s="57" t="str">
        <f>Małopolski!E27</f>
        <v>-</v>
      </c>
      <c r="K27" s="57" t="str">
        <f>Mazowiecki!E27</f>
        <v>-</v>
      </c>
      <c r="L27" s="57" t="str">
        <f>Opolski!E27</f>
        <v>-</v>
      </c>
      <c r="M27" s="57" t="str">
        <f>Podkarpacki!E27</f>
        <v>-</v>
      </c>
      <c r="N27" s="57" t="str">
        <f>Podlaski!E27</f>
        <v>-</v>
      </c>
      <c r="O27" s="57" t="str">
        <f>Pomorski!E27</f>
        <v>-</v>
      </c>
      <c r="P27" s="57" t="str">
        <f>Śląski!E27</f>
        <v>-</v>
      </c>
      <c r="Q27" s="57" t="str">
        <f>Świętokrzyski!E27</f>
        <v>-</v>
      </c>
      <c r="R27" s="57" t="str">
        <f>WarmińskoMazurski!E27</f>
        <v>-</v>
      </c>
      <c r="S27" s="57" t="str">
        <f>Wielkopolski!E27</f>
        <v>-</v>
      </c>
      <c r="T27" s="57" t="str">
        <f>Zachodniopomorski!E27</f>
        <v>-</v>
      </c>
    </row>
    <row r="28" spans="1:20" s="83" customFormat="1" ht="27" customHeight="1" x14ac:dyDescent="0.3">
      <c r="A28" s="95" t="s">
        <v>15</v>
      </c>
      <c r="B28" s="81" t="s">
        <v>113</v>
      </c>
      <c r="C28" s="82" t="str">
        <f>CENTRALA!E28</f>
        <v>-</v>
      </c>
      <c r="D28" s="56">
        <f t="shared" si="0"/>
        <v>0</v>
      </c>
      <c r="E28" s="82" t="str">
        <f>Dolnośląski!E28</f>
        <v>-</v>
      </c>
      <c r="F28" s="82" t="str">
        <f>KujawskoPomorski!E28</f>
        <v>-</v>
      </c>
      <c r="G28" s="82" t="str">
        <f>Lubelski!E28</f>
        <v>-</v>
      </c>
      <c r="H28" s="82" t="str">
        <f>Lubuski!E28</f>
        <v>-</v>
      </c>
      <c r="I28" s="82" t="str">
        <f>Łódzki!E28</f>
        <v>-</v>
      </c>
      <c r="J28" s="82" t="str">
        <f>Małopolski!E28</f>
        <v>-</v>
      </c>
      <c r="K28" s="82" t="str">
        <f>Mazowiecki!E28</f>
        <v>-</v>
      </c>
      <c r="L28" s="82" t="str">
        <f>Opolski!E28</f>
        <v>-</v>
      </c>
      <c r="M28" s="82" t="str">
        <f>Podkarpacki!E28</f>
        <v>-</v>
      </c>
      <c r="N28" s="82" t="str">
        <f>Podlaski!E28</f>
        <v>-</v>
      </c>
      <c r="O28" s="82" t="str">
        <f>Pomorski!E28</f>
        <v>-</v>
      </c>
      <c r="P28" s="82" t="str">
        <f>Śląski!E28</f>
        <v>-</v>
      </c>
      <c r="Q28" s="82" t="str">
        <f>Świętokrzyski!E28</f>
        <v>-</v>
      </c>
      <c r="R28" s="82" t="str">
        <f>WarmińskoMazurski!E28</f>
        <v>-</v>
      </c>
      <c r="S28" s="82" t="str">
        <f>Wielkopolski!E28</f>
        <v>-</v>
      </c>
      <c r="T28" s="82" t="str">
        <f>Zachodniopomorski!E28</f>
        <v>-</v>
      </c>
    </row>
    <row r="29" spans="1:20" s="83" customFormat="1" ht="45" customHeight="1" x14ac:dyDescent="0.3">
      <c r="A29" s="95" t="s">
        <v>110</v>
      </c>
      <c r="B29" s="35" t="s">
        <v>155</v>
      </c>
      <c r="C29" s="82">
        <f>CENTRALA!E29</f>
        <v>-143811</v>
      </c>
      <c r="D29" s="56">
        <f t="shared" si="0"/>
        <v>232378</v>
      </c>
      <c r="E29" s="82">
        <f>Dolnośląski!E29</f>
        <v>18848</v>
      </c>
      <c r="F29" s="82" t="str">
        <f>KujawskoPomorski!E29</f>
        <v>-</v>
      </c>
      <c r="G29" s="82" t="str">
        <f>Lubelski!E29</f>
        <v>-</v>
      </c>
      <c r="H29" s="82" t="str">
        <f>Lubuski!E29</f>
        <v>-</v>
      </c>
      <c r="I29" s="82">
        <f>Łódzki!E29</f>
        <v>15080</v>
      </c>
      <c r="J29" s="82">
        <f>Małopolski!E29</f>
        <v>48500</v>
      </c>
      <c r="K29" s="82">
        <f>Mazowiecki!E29</f>
        <v>37000</v>
      </c>
      <c r="L29" s="82">
        <f>Opolski!E29</f>
        <v>4000</v>
      </c>
      <c r="M29" s="82">
        <f>Podkarpacki!E29</f>
        <v>9400</v>
      </c>
      <c r="N29" s="82" t="str">
        <f>Podlaski!E29</f>
        <v>-</v>
      </c>
      <c r="O29" s="82" t="str">
        <f>Pomorski!E29</f>
        <v>-</v>
      </c>
      <c r="P29" s="82">
        <f>Śląski!E29</f>
        <v>71000</v>
      </c>
      <c r="Q29" s="82">
        <f>Świętokrzyski!E29</f>
        <v>11550</v>
      </c>
      <c r="R29" s="82">
        <f>WarmińskoMazurski!E29</f>
        <v>10000</v>
      </c>
      <c r="S29" s="82" t="str">
        <f>Wielkopolski!E29</f>
        <v>-</v>
      </c>
      <c r="T29" s="82">
        <f>Zachodniopomorski!E29</f>
        <v>7000</v>
      </c>
    </row>
    <row r="30" spans="1:20" ht="27.75" customHeight="1" x14ac:dyDescent="0.2">
      <c r="A30" s="94" t="s">
        <v>156</v>
      </c>
      <c r="B30" s="89" t="s">
        <v>167</v>
      </c>
      <c r="C30" s="57" t="str">
        <f>CENTRALA!E30</f>
        <v>-</v>
      </c>
      <c r="D30" s="56">
        <f t="shared" si="0"/>
        <v>0</v>
      </c>
      <c r="E30" s="57" t="str">
        <f>Dolnośląski!E30</f>
        <v>-</v>
      </c>
      <c r="F30" s="57" t="str">
        <f>KujawskoPomorski!E30</f>
        <v>-</v>
      </c>
      <c r="G30" s="57" t="str">
        <f>Lubelski!E30</f>
        <v>-</v>
      </c>
      <c r="H30" s="57" t="str">
        <f>Lubuski!E30</f>
        <v>-</v>
      </c>
      <c r="I30" s="57" t="str">
        <f>Łódzki!E30</f>
        <v>-</v>
      </c>
      <c r="J30" s="57" t="str">
        <f>Małopolski!E30</f>
        <v>-</v>
      </c>
      <c r="K30" s="57" t="str">
        <f>Mazowiecki!E30</f>
        <v>-</v>
      </c>
      <c r="L30" s="57" t="str">
        <f>Opolski!E30</f>
        <v>-</v>
      </c>
      <c r="M30" s="57" t="str">
        <f>Podkarpacki!E30</f>
        <v>-</v>
      </c>
      <c r="N30" s="57" t="str">
        <f>Podlaski!E30</f>
        <v>-</v>
      </c>
      <c r="O30" s="57" t="str">
        <f>Pomorski!E30</f>
        <v>-</v>
      </c>
      <c r="P30" s="57" t="str">
        <f>Śląski!E30</f>
        <v>-</v>
      </c>
      <c r="Q30" s="57" t="str">
        <f>Świętokrzyski!E30</f>
        <v>-</v>
      </c>
      <c r="R30" s="57" t="str">
        <f>WarmińskoMazurski!E30</f>
        <v>-</v>
      </c>
      <c r="S30" s="57" t="str">
        <f>Wielkopolski!E30</f>
        <v>-</v>
      </c>
      <c r="T30" s="57" t="str">
        <f>Zachodniopomorski!E30</f>
        <v>-</v>
      </c>
    </row>
    <row r="31" spans="1:20" ht="45" customHeight="1" x14ac:dyDescent="0.2">
      <c r="A31" s="96" t="s">
        <v>111</v>
      </c>
      <c r="B31" s="17" t="s">
        <v>114</v>
      </c>
      <c r="C31" s="57" t="str">
        <f>CENTRALA!E31</f>
        <v>-</v>
      </c>
      <c r="D31" s="56">
        <f t="shared" si="0"/>
        <v>0</v>
      </c>
      <c r="E31" s="57" t="str">
        <f>Dolnośląski!E31</f>
        <v>-</v>
      </c>
      <c r="F31" s="57" t="str">
        <f>KujawskoPomorski!E31</f>
        <v>-</v>
      </c>
      <c r="G31" s="57" t="str">
        <f>Lubelski!E31</f>
        <v>-</v>
      </c>
      <c r="H31" s="57" t="str">
        <f>Lubuski!E31</f>
        <v>-</v>
      </c>
      <c r="I31" s="57" t="str">
        <f>Łódzki!E31</f>
        <v>-</v>
      </c>
      <c r="J31" s="57" t="str">
        <f>Małopolski!E31</f>
        <v>-</v>
      </c>
      <c r="K31" s="57" t="str">
        <f>Mazowiecki!E31</f>
        <v>-</v>
      </c>
      <c r="L31" s="57" t="str">
        <f>Opolski!E31</f>
        <v>-</v>
      </c>
      <c r="M31" s="57" t="str">
        <f>Podkarpacki!E31</f>
        <v>-</v>
      </c>
      <c r="N31" s="57" t="str">
        <f>Podlaski!E31</f>
        <v>-</v>
      </c>
      <c r="O31" s="57" t="str">
        <f>Pomorski!E31</f>
        <v>-</v>
      </c>
      <c r="P31" s="57" t="str">
        <f>Śląski!E31</f>
        <v>-</v>
      </c>
      <c r="Q31" s="57" t="str">
        <f>Świętokrzyski!E31</f>
        <v>-</v>
      </c>
      <c r="R31" s="57" t="str">
        <f>WarmińskoMazurski!E31</f>
        <v>-</v>
      </c>
      <c r="S31" s="57" t="str">
        <f>Wielkopolski!E31</f>
        <v>-</v>
      </c>
      <c r="T31" s="57" t="str">
        <f>Zachodniopomorski!E31</f>
        <v>-</v>
      </c>
    </row>
    <row r="32" spans="1:20" ht="27" customHeight="1" x14ac:dyDescent="0.2">
      <c r="A32" s="96" t="s">
        <v>112</v>
      </c>
      <c r="B32" s="17" t="s">
        <v>166</v>
      </c>
      <c r="C32" s="57" t="str">
        <f>CENTRALA!E32</f>
        <v>-</v>
      </c>
      <c r="D32" s="56">
        <f t="shared" si="0"/>
        <v>12728</v>
      </c>
      <c r="E32" s="57" t="str">
        <f>Dolnośląski!E32</f>
        <v>-</v>
      </c>
      <c r="F32" s="57">
        <f>KujawskoPomorski!E32</f>
        <v>10728</v>
      </c>
      <c r="G32" s="57" t="str">
        <f>Lubelski!E32</f>
        <v>-</v>
      </c>
      <c r="H32" s="57" t="str">
        <f>Lubuski!E32</f>
        <v>-</v>
      </c>
      <c r="I32" s="57" t="str">
        <f>Łódzki!E32</f>
        <v>-</v>
      </c>
      <c r="J32" s="57" t="str">
        <f>Małopolski!E32</f>
        <v>-</v>
      </c>
      <c r="K32" s="57" t="str">
        <f>Mazowiecki!E32</f>
        <v>-</v>
      </c>
      <c r="L32" s="57" t="str">
        <f>Opolski!E32</f>
        <v>-</v>
      </c>
      <c r="M32" s="57" t="str">
        <f>Podkarpacki!E32</f>
        <v>-</v>
      </c>
      <c r="N32" s="57" t="str">
        <f>Podlaski!E32</f>
        <v>-</v>
      </c>
      <c r="O32" s="57" t="str">
        <f>Pomorski!E32</f>
        <v>-</v>
      </c>
      <c r="P32" s="57" t="str">
        <f>Śląski!E32</f>
        <v>-</v>
      </c>
      <c r="Q32" s="57" t="str">
        <f>Świętokrzyski!E32</f>
        <v>-</v>
      </c>
      <c r="R32" s="57">
        <f>WarmińskoMazurski!E32</f>
        <v>2000</v>
      </c>
      <c r="S32" s="57" t="str">
        <f>Wielkopolski!E32</f>
        <v>-</v>
      </c>
      <c r="T32" s="57" t="str">
        <f>Zachodniopomorski!E32</f>
        <v>-</v>
      </c>
    </row>
    <row r="33" spans="1:20" ht="45" customHeight="1" x14ac:dyDescent="0.2">
      <c r="A33" s="96" t="s">
        <v>223</v>
      </c>
      <c r="B33" s="17" t="s">
        <v>224</v>
      </c>
      <c r="C33" s="57"/>
      <c r="D33" s="56">
        <f>SUM(E33:T33)</f>
        <v>0</v>
      </c>
      <c r="E33" s="57" t="str">
        <f>Dolnośląski!E33</f>
        <v>-</v>
      </c>
      <c r="F33" s="57" t="str">
        <f>KujawskoPomorski!E33</f>
        <v>-</v>
      </c>
      <c r="G33" s="57" t="str">
        <f>Lubelski!E33</f>
        <v>-</v>
      </c>
      <c r="H33" s="57" t="str">
        <f>Lubuski!E33</f>
        <v>-</v>
      </c>
      <c r="I33" s="57" t="str">
        <f>Łódzki!E33</f>
        <v>-</v>
      </c>
      <c r="J33" s="57" t="str">
        <f>Małopolski!E33</f>
        <v>-</v>
      </c>
      <c r="K33" s="57" t="str">
        <f>Mazowiecki!E33</f>
        <v>-</v>
      </c>
      <c r="L33" s="57" t="str">
        <f>Opolski!E33</f>
        <v>-</v>
      </c>
      <c r="M33" s="57" t="str">
        <f>Podkarpacki!E33</f>
        <v>-</v>
      </c>
      <c r="N33" s="57" t="str">
        <f>Podlaski!E33</f>
        <v>-</v>
      </c>
      <c r="O33" s="57" t="str">
        <f>Pomorski!E33</f>
        <v>-</v>
      </c>
      <c r="P33" s="57" t="str">
        <f>Śląski!E33</f>
        <v>-</v>
      </c>
      <c r="Q33" s="57" t="str">
        <f>Świętokrzyski!E33</f>
        <v>-</v>
      </c>
      <c r="R33" s="57" t="str">
        <f>WarmińskoMazurski!E33</f>
        <v>-</v>
      </c>
      <c r="S33" s="57" t="str">
        <f>Wielkopolski!E33</f>
        <v>-</v>
      </c>
      <c r="T33" s="57" t="str">
        <f>Zachodniopomorski!E33</f>
        <v>-</v>
      </c>
    </row>
    <row r="34" spans="1:20" ht="33" customHeight="1" x14ac:dyDescent="0.2">
      <c r="A34" s="96" t="s">
        <v>233</v>
      </c>
      <c r="B34" s="17" t="s">
        <v>234</v>
      </c>
      <c r="C34" s="57"/>
      <c r="D34" s="56">
        <f>SUM(E34:T34)</f>
        <v>0</v>
      </c>
      <c r="E34" s="57" t="str">
        <f>Dolnośląski!E34</f>
        <v>-</v>
      </c>
      <c r="F34" s="57" t="str">
        <f>KujawskoPomorski!E34</f>
        <v>-</v>
      </c>
      <c r="G34" s="57" t="str">
        <f>Lubelski!E34</f>
        <v>-</v>
      </c>
      <c r="H34" s="57" t="str">
        <f>Lubuski!E34</f>
        <v>-</v>
      </c>
      <c r="I34" s="57" t="str">
        <f>Łódzki!E34</f>
        <v>-</v>
      </c>
      <c r="J34" s="57" t="str">
        <f>Małopolski!E34</f>
        <v>-</v>
      </c>
      <c r="K34" s="57" t="str">
        <f>Mazowiecki!E34</f>
        <v>-</v>
      </c>
      <c r="L34" s="57" t="str">
        <f>Opolski!E34</f>
        <v>-</v>
      </c>
      <c r="M34" s="57" t="str">
        <f>Podkarpacki!E34</f>
        <v>-</v>
      </c>
      <c r="N34" s="57" t="str">
        <f>Podlaski!E34</f>
        <v>-</v>
      </c>
      <c r="O34" s="57" t="str">
        <f>Pomorski!E34</f>
        <v>-</v>
      </c>
      <c r="P34" s="57" t="str">
        <f>Śląski!E34</f>
        <v>-</v>
      </c>
      <c r="Q34" s="57" t="str">
        <f>Świętokrzyski!E34</f>
        <v>-</v>
      </c>
      <c r="R34" s="57" t="str">
        <f>WarmińskoMazurski!E34</f>
        <v>-</v>
      </c>
      <c r="S34" s="57" t="str">
        <f>Wielkopolski!E34</f>
        <v>-</v>
      </c>
      <c r="T34" s="57" t="str">
        <f>Zachodniopomorski!E34</f>
        <v>-</v>
      </c>
    </row>
    <row r="35" spans="1:20" ht="27.75" hidden="1" customHeight="1" x14ac:dyDescent="0.2">
      <c r="A35" s="97" t="s">
        <v>58</v>
      </c>
      <c r="B35" s="18" t="s">
        <v>59</v>
      </c>
      <c r="C35" s="57" t="str">
        <f>CENTRALA!E35</f>
        <v>-</v>
      </c>
      <c r="D35" s="56">
        <f t="shared" si="0"/>
        <v>0</v>
      </c>
      <c r="E35" s="57" t="str">
        <f>Dolnośląski!E35</f>
        <v>-</v>
      </c>
      <c r="F35" s="57" t="str">
        <f>KujawskoPomorski!E35</f>
        <v>-</v>
      </c>
      <c r="G35" s="57" t="str">
        <f>Lubelski!E35</f>
        <v>-</v>
      </c>
      <c r="H35" s="57" t="str">
        <f>Lubuski!E35</f>
        <v>-</v>
      </c>
      <c r="I35" s="57" t="str">
        <f>Łódzki!E35</f>
        <v>-</v>
      </c>
      <c r="J35" s="57" t="str">
        <f>Małopolski!E35</f>
        <v>-</v>
      </c>
      <c r="K35" s="57" t="str">
        <f>Mazowiecki!E35</f>
        <v>-</v>
      </c>
      <c r="L35" s="57" t="str">
        <f>Opolski!E35</f>
        <v>-</v>
      </c>
      <c r="M35" s="57" t="str">
        <f>Podkarpacki!E35</f>
        <v>-</v>
      </c>
      <c r="N35" s="57" t="str">
        <f>Podlaski!E35</f>
        <v>-</v>
      </c>
      <c r="O35" s="57" t="str">
        <f>Pomorski!E35</f>
        <v>-</v>
      </c>
      <c r="P35" s="57" t="str">
        <f>Śląski!E35</f>
        <v>-</v>
      </c>
      <c r="Q35" s="57" t="str">
        <f>Świętokrzyski!E35</f>
        <v>-</v>
      </c>
      <c r="R35" s="57" t="str">
        <f>WarmińskoMazurski!E35</f>
        <v>-</v>
      </c>
      <c r="S35" s="57" t="str">
        <f>Wielkopolski!E35</f>
        <v>-</v>
      </c>
      <c r="T35" s="57" t="str">
        <f>Zachodniopomorski!E35</f>
        <v>-</v>
      </c>
    </row>
    <row r="36" spans="1:20" ht="27.75" hidden="1" customHeight="1" x14ac:dyDescent="0.2">
      <c r="A36" s="97" t="s">
        <v>57</v>
      </c>
      <c r="B36" s="18" t="s">
        <v>60</v>
      </c>
      <c r="C36" s="57" t="str">
        <f>CENTRALA!E36</f>
        <v>-</v>
      </c>
      <c r="D36" s="56">
        <f t="shared" si="0"/>
        <v>0</v>
      </c>
      <c r="E36" s="57" t="str">
        <f>Dolnośląski!E36</f>
        <v>-</v>
      </c>
      <c r="F36" s="57" t="str">
        <f>KujawskoPomorski!E36</f>
        <v>-</v>
      </c>
      <c r="G36" s="57" t="str">
        <f>Lubelski!E36</f>
        <v>-</v>
      </c>
      <c r="H36" s="57" t="str">
        <f>Lubuski!E36</f>
        <v>-</v>
      </c>
      <c r="I36" s="57" t="str">
        <f>Łódzki!E36</f>
        <v>-</v>
      </c>
      <c r="J36" s="57" t="str">
        <f>Małopolski!E36</f>
        <v>-</v>
      </c>
      <c r="K36" s="57" t="str">
        <f>Mazowiecki!E36</f>
        <v>-</v>
      </c>
      <c r="L36" s="57" t="str">
        <f>Opolski!E36</f>
        <v>-</v>
      </c>
      <c r="M36" s="57" t="str">
        <f>Podkarpacki!E36</f>
        <v>-</v>
      </c>
      <c r="N36" s="57" t="str">
        <f>Podlaski!E36</f>
        <v>-</v>
      </c>
      <c r="O36" s="57" t="str">
        <f>Pomorski!E36</f>
        <v>-</v>
      </c>
      <c r="P36" s="57" t="str">
        <f>Śląski!E36</f>
        <v>-</v>
      </c>
      <c r="Q36" s="57" t="str">
        <f>Świętokrzyski!E36</f>
        <v>-</v>
      </c>
      <c r="R36" s="57" t="str">
        <f>WarmińskoMazurski!E36</f>
        <v>-</v>
      </c>
      <c r="S36" s="57" t="str">
        <f>Wielkopolski!E36</f>
        <v>-</v>
      </c>
      <c r="T36" s="57" t="str">
        <f>Zachodniopomorski!E36</f>
        <v>-</v>
      </c>
    </row>
    <row r="37" spans="1:20" ht="60.75" x14ac:dyDescent="0.2">
      <c r="A37" s="97" t="s">
        <v>235</v>
      </c>
      <c r="B37" s="18" t="s">
        <v>236</v>
      </c>
      <c r="C37" s="57" t="str">
        <f>CENTRALA!E37</f>
        <v>-</v>
      </c>
      <c r="D37" s="56">
        <f t="shared" si="0"/>
        <v>0</v>
      </c>
      <c r="E37" s="57" t="str">
        <f>Dolnośląski!E37</f>
        <v>-</v>
      </c>
      <c r="F37" s="57" t="str">
        <f>KujawskoPomorski!E37</f>
        <v>-</v>
      </c>
      <c r="G37" s="57" t="str">
        <f>Lubelski!E37</f>
        <v>-</v>
      </c>
      <c r="H37" s="57" t="str">
        <f>Lubuski!E37</f>
        <v>-</v>
      </c>
      <c r="I37" s="57" t="str">
        <f>Łódzki!E37</f>
        <v>-</v>
      </c>
      <c r="J37" s="57" t="str">
        <f>Małopolski!E37</f>
        <v>-</v>
      </c>
      <c r="K37" s="57" t="str">
        <f>Mazowiecki!E37</f>
        <v>-</v>
      </c>
      <c r="L37" s="57" t="str">
        <f>Opolski!E37</f>
        <v>-</v>
      </c>
      <c r="M37" s="57" t="str">
        <f>Podkarpacki!E37</f>
        <v>-</v>
      </c>
      <c r="N37" s="57" t="str">
        <f>Podlaski!E37</f>
        <v>-</v>
      </c>
      <c r="O37" s="57" t="str">
        <f>Pomorski!E37</f>
        <v>-</v>
      </c>
      <c r="P37" s="57" t="str">
        <f>Śląski!E37</f>
        <v>-</v>
      </c>
      <c r="Q37" s="57" t="str">
        <f>Świętokrzyski!E37</f>
        <v>-</v>
      </c>
      <c r="R37" s="57" t="str">
        <f>WarmińskoMazurski!E37</f>
        <v>-</v>
      </c>
      <c r="S37" s="57" t="str">
        <f>Wielkopolski!E37</f>
        <v>-</v>
      </c>
      <c r="T37" s="57" t="str">
        <f>Zachodniopomorski!E37</f>
        <v>-</v>
      </c>
    </row>
    <row r="38" spans="1:20" ht="46.5" hidden="1" customHeight="1" x14ac:dyDescent="0.2">
      <c r="A38" s="97" t="s">
        <v>157</v>
      </c>
      <c r="B38" s="18" t="s">
        <v>158</v>
      </c>
      <c r="C38" s="57" t="str">
        <f>CENTRALA!E38</f>
        <v>-</v>
      </c>
      <c r="D38" s="56">
        <f t="shared" si="0"/>
        <v>0</v>
      </c>
      <c r="E38" s="57" t="str">
        <f>Dolnośląski!E38</f>
        <v>-</v>
      </c>
      <c r="F38" s="57" t="str">
        <f>KujawskoPomorski!E38</f>
        <v>-</v>
      </c>
      <c r="G38" s="57" t="str">
        <f>Lubelski!E38</f>
        <v>-</v>
      </c>
      <c r="H38" s="57" t="str">
        <f>Lubuski!E38</f>
        <v>-</v>
      </c>
      <c r="I38" s="57" t="str">
        <f>Łódzki!E38</f>
        <v>-</v>
      </c>
      <c r="J38" s="57" t="str">
        <f>Małopolski!E38</f>
        <v>-</v>
      </c>
      <c r="K38" s="57" t="str">
        <f>Mazowiecki!E38</f>
        <v>-</v>
      </c>
      <c r="L38" s="57" t="str">
        <f>Opolski!E38</f>
        <v>-</v>
      </c>
      <c r="M38" s="57" t="str">
        <f>Podkarpacki!E38</f>
        <v>-</v>
      </c>
      <c r="N38" s="57" t="str">
        <f>Podlaski!E38</f>
        <v>-</v>
      </c>
      <c r="O38" s="57" t="str">
        <f>Pomorski!E38</f>
        <v>-</v>
      </c>
      <c r="P38" s="57" t="str">
        <f>Śląski!E38</f>
        <v>-</v>
      </c>
      <c r="Q38" s="57" t="str">
        <f>Świętokrzyski!E38</f>
        <v>-</v>
      </c>
      <c r="R38" s="57" t="str">
        <f>WarmińskoMazurski!E38</f>
        <v>-</v>
      </c>
      <c r="S38" s="57" t="str">
        <f>Wielkopolski!E38</f>
        <v>-</v>
      </c>
      <c r="T38" s="57" t="str">
        <f>Zachodniopomorski!E38</f>
        <v>-</v>
      </c>
    </row>
    <row r="39" spans="1:20" s="75" customFormat="1" ht="31.5" hidden="1" customHeight="1" x14ac:dyDescent="0.2">
      <c r="A39" s="102" t="s">
        <v>16</v>
      </c>
      <c r="B39" s="74" t="s">
        <v>228</v>
      </c>
      <c r="C39" s="8" t="str">
        <f>CENTRALA!E39</f>
        <v>-</v>
      </c>
      <c r="D39" s="37">
        <f t="shared" si="0"/>
        <v>0</v>
      </c>
      <c r="E39" s="8" t="str">
        <f>Dolnośląski!E39</f>
        <v>-</v>
      </c>
      <c r="F39" s="8" t="str">
        <f>KujawskoPomorski!E39</f>
        <v>-</v>
      </c>
      <c r="G39" s="8" t="str">
        <f>Lubelski!E39</f>
        <v>-</v>
      </c>
      <c r="H39" s="37" t="str">
        <f>Lubuski!E39</f>
        <v>-</v>
      </c>
      <c r="I39" s="37" t="str">
        <f>Łódzki!E39</f>
        <v>-</v>
      </c>
      <c r="J39" s="37" t="str">
        <f>Małopolski!E39</f>
        <v>-</v>
      </c>
      <c r="K39" s="37" t="str">
        <f>Mazowiecki!E39</f>
        <v>-</v>
      </c>
      <c r="L39" s="37" t="str">
        <f>Opolski!E39</f>
        <v>-</v>
      </c>
      <c r="M39" s="37" t="str">
        <f>Podkarpacki!E39</f>
        <v>-</v>
      </c>
      <c r="N39" s="37" t="str">
        <f>Podlaski!E39</f>
        <v>-</v>
      </c>
      <c r="O39" s="37" t="str">
        <f>Pomorski!E39</f>
        <v>-</v>
      </c>
      <c r="P39" s="37" t="str">
        <f>Śląski!E39</f>
        <v>-</v>
      </c>
      <c r="Q39" s="37" t="str">
        <f>Świętokrzyski!E39</f>
        <v>-</v>
      </c>
      <c r="R39" s="37" t="str">
        <f>WarmińskoMazurski!E39</f>
        <v>-</v>
      </c>
      <c r="S39" s="37" t="str">
        <f>Wielkopolski!E39</f>
        <v>-</v>
      </c>
      <c r="T39" s="37" t="str">
        <f>Zachodniopomorski!E39</f>
        <v>-</v>
      </c>
    </row>
    <row r="40" spans="1:20" ht="31.5" hidden="1" customHeight="1" x14ac:dyDescent="0.2">
      <c r="A40" s="96" t="s">
        <v>17</v>
      </c>
      <c r="B40" s="20" t="s">
        <v>18</v>
      </c>
      <c r="C40" s="43" t="str">
        <f>CENTRALA!E40</f>
        <v>-</v>
      </c>
      <c r="D40" s="37">
        <f t="shared" si="0"/>
        <v>0</v>
      </c>
      <c r="E40" s="43" t="str">
        <f>Dolnośląski!E40</f>
        <v>-</v>
      </c>
      <c r="F40" s="43" t="str">
        <f>KujawskoPomorski!E40</f>
        <v>-</v>
      </c>
      <c r="G40" s="43" t="str">
        <f>Lubelski!E40</f>
        <v>-</v>
      </c>
      <c r="H40" s="43" t="str">
        <f>Lubuski!E40</f>
        <v>-</v>
      </c>
      <c r="I40" s="43" t="str">
        <f>Łódzki!E40</f>
        <v>-</v>
      </c>
      <c r="J40" s="43" t="str">
        <f>Małopolski!E40</f>
        <v>-</v>
      </c>
      <c r="K40" s="43" t="str">
        <f>Mazowiecki!E40</f>
        <v>-</v>
      </c>
      <c r="L40" s="43" t="str">
        <f>Opolski!E40</f>
        <v>-</v>
      </c>
      <c r="M40" s="43" t="str">
        <f>Podkarpacki!E40</f>
        <v>-</v>
      </c>
      <c r="N40" s="43" t="str">
        <f>Podlaski!E40</f>
        <v>-</v>
      </c>
      <c r="O40" s="43" t="str">
        <f>Pomorski!E40</f>
        <v>-</v>
      </c>
      <c r="P40" s="43" t="str">
        <f>Śląski!E40</f>
        <v>-</v>
      </c>
      <c r="Q40" s="43" t="str">
        <f>Świętokrzyski!E40</f>
        <v>-</v>
      </c>
      <c r="R40" s="43" t="str">
        <f>WarmińskoMazurski!E40</f>
        <v>-</v>
      </c>
      <c r="S40" s="43" t="str">
        <f>Wielkopolski!E40</f>
        <v>-</v>
      </c>
      <c r="T40" s="43" t="str">
        <f>Zachodniopomorski!E40</f>
        <v>-</v>
      </c>
    </row>
    <row r="41" spans="1:20" ht="31.5" hidden="1" customHeight="1" x14ac:dyDescent="0.2">
      <c r="A41" s="96" t="s">
        <v>19</v>
      </c>
      <c r="B41" s="20" t="s">
        <v>20</v>
      </c>
      <c r="C41" s="43" t="str">
        <f>CENTRALA!E41</f>
        <v>-</v>
      </c>
      <c r="D41" s="37">
        <f t="shared" si="0"/>
        <v>0</v>
      </c>
      <c r="E41" s="43" t="str">
        <f>Dolnośląski!E41</f>
        <v>-</v>
      </c>
      <c r="F41" s="43" t="str">
        <f>KujawskoPomorski!E41</f>
        <v>-</v>
      </c>
      <c r="G41" s="43" t="str">
        <f>Lubelski!E41</f>
        <v>-</v>
      </c>
      <c r="H41" s="43" t="str">
        <f>Lubuski!E41</f>
        <v>-</v>
      </c>
      <c r="I41" s="43" t="str">
        <f>Łódzki!E41</f>
        <v>-</v>
      </c>
      <c r="J41" s="43" t="str">
        <f>Małopolski!E41</f>
        <v>-</v>
      </c>
      <c r="K41" s="43" t="str">
        <f>Mazowiecki!E41</f>
        <v>-</v>
      </c>
      <c r="L41" s="43" t="str">
        <f>Opolski!E41</f>
        <v>-</v>
      </c>
      <c r="M41" s="43" t="str">
        <f>Podkarpacki!E41</f>
        <v>-</v>
      </c>
      <c r="N41" s="43" t="str">
        <f>Podlaski!E41</f>
        <v>-</v>
      </c>
      <c r="O41" s="43" t="str">
        <f>Pomorski!E41</f>
        <v>-</v>
      </c>
      <c r="P41" s="43" t="str">
        <f>Śląski!E41</f>
        <v>-</v>
      </c>
      <c r="Q41" s="43" t="str">
        <f>Świętokrzyski!E41</f>
        <v>-</v>
      </c>
      <c r="R41" s="43" t="str">
        <f>WarmińskoMazurski!E41</f>
        <v>-</v>
      </c>
      <c r="S41" s="43" t="str">
        <f>Wielkopolski!E41</f>
        <v>-</v>
      </c>
      <c r="T41" s="43" t="str">
        <f>Zachodniopomorski!E41</f>
        <v>-</v>
      </c>
    </row>
    <row r="42" spans="1:20" ht="31.5" hidden="1" customHeight="1" x14ac:dyDescent="0.2">
      <c r="A42" s="96" t="s">
        <v>21</v>
      </c>
      <c r="B42" s="21" t="s">
        <v>229</v>
      </c>
      <c r="C42" s="43" t="str">
        <f>CENTRALA!E42</f>
        <v>-</v>
      </c>
      <c r="D42" s="37">
        <f t="shared" si="0"/>
        <v>0</v>
      </c>
      <c r="E42" s="43" t="str">
        <f>Dolnośląski!E42</f>
        <v>-</v>
      </c>
      <c r="F42" s="43" t="str">
        <f>KujawskoPomorski!E42</f>
        <v>-</v>
      </c>
      <c r="G42" s="43" t="str">
        <f>Lubelski!E42</f>
        <v>-</v>
      </c>
      <c r="H42" s="43" t="str">
        <f>Lubuski!E42</f>
        <v>-</v>
      </c>
      <c r="I42" s="43" t="str">
        <f>Łódzki!E42</f>
        <v>-</v>
      </c>
      <c r="J42" s="43" t="str">
        <f>Małopolski!E42</f>
        <v>-</v>
      </c>
      <c r="K42" s="43" t="str">
        <f>Mazowiecki!E42</f>
        <v>-</v>
      </c>
      <c r="L42" s="43" t="str">
        <f>Opolski!E42</f>
        <v>-</v>
      </c>
      <c r="M42" s="43" t="str">
        <f>Podkarpacki!E42</f>
        <v>-</v>
      </c>
      <c r="N42" s="43" t="str">
        <f>Podlaski!E42</f>
        <v>-</v>
      </c>
      <c r="O42" s="43" t="str">
        <f>Pomorski!E42</f>
        <v>-</v>
      </c>
      <c r="P42" s="43" t="str">
        <f>Śląski!E42</f>
        <v>-</v>
      </c>
      <c r="Q42" s="43" t="str">
        <f>Świętokrzyski!E42</f>
        <v>-</v>
      </c>
      <c r="R42" s="43" t="str">
        <f>WarmińskoMazurski!E42</f>
        <v>-</v>
      </c>
      <c r="S42" s="43" t="str">
        <f>Wielkopolski!E42</f>
        <v>-</v>
      </c>
      <c r="T42" s="43" t="str">
        <f>Zachodniopomorski!E42</f>
        <v>-</v>
      </c>
    </row>
    <row r="43" spans="1:20" ht="49.5" hidden="1" customHeight="1" x14ac:dyDescent="0.2">
      <c r="A43" s="99" t="s">
        <v>39</v>
      </c>
      <c r="B43" s="90" t="s">
        <v>32</v>
      </c>
      <c r="C43" s="43" t="str">
        <f>CENTRALA!E43</f>
        <v>-</v>
      </c>
      <c r="D43" s="37">
        <f t="shared" si="0"/>
        <v>0</v>
      </c>
      <c r="E43" s="43" t="str">
        <f>Dolnośląski!E43</f>
        <v>-</v>
      </c>
      <c r="F43" s="43" t="str">
        <f>KujawskoPomorski!E43</f>
        <v>-</v>
      </c>
      <c r="G43" s="43" t="str">
        <f>Lubelski!E43</f>
        <v>-</v>
      </c>
      <c r="H43" s="43" t="str">
        <f>Lubuski!E43</f>
        <v>-</v>
      </c>
      <c r="I43" s="43" t="str">
        <f>Łódzki!E43</f>
        <v>-</v>
      </c>
      <c r="J43" s="43" t="str">
        <f>Małopolski!E43</f>
        <v>-</v>
      </c>
      <c r="K43" s="43" t="str">
        <f>Mazowiecki!E43</f>
        <v>-</v>
      </c>
      <c r="L43" s="43" t="str">
        <f>Opolski!E43</f>
        <v>-</v>
      </c>
      <c r="M43" s="43" t="str">
        <f>Podkarpacki!E43</f>
        <v>-</v>
      </c>
      <c r="N43" s="43" t="str">
        <f>Podlaski!E43</f>
        <v>-</v>
      </c>
      <c r="O43" s="43" t="str">
        <f>Pomorski!E43</f>
        <v>-</v>
      </c>
      <c r="P43" s="43" t="str">
        <f>Śląski!E43</f>
        <v>-</v>
      </c>
      <c r="Q43" s="43" t="str">
        <f>Świętokrzyski!E43</f>
        <v>-</v>
      </c>
      <c r="R43" s="43" t="str">
        <f>WarmińskoMazurski!E43</f>
        <v>-</v>
      </c>
      <c r="S43" s="43" t="str">
        <f>Wielkopolski!E43</f>
        <v>-</v>
      </c>
      <c r="T43" s="43" t="str">
        <f>Zachodniopomorski!E43</f>
        <v>-</v>
      </c>
    </row>
    <row r="44" spans="1:20" ht="31.5" hidden="1" customHeight="1" x14ac:dyDescent="0.2">
      <c r="A44" s="99" t="s">
        <v>40</v>
      </c>
      <c r="B44" s="91" t="s">
        <v>33</v>
      </c>
      <c r="C44" s="43" t="str">
        <f>CENTRALA!E44</f>
        <v>-</v>
      </c>
      <c r="D44" s="37">
        <f t="shared" si="0"/>
        <v>0</v>
      </c>
      <c r="E44" s="43" t="str">
        <f>Dolnośląski!E44</f>
        <v>-</v>
      </c>
      <c r="F44" s="43" t="str">
        <f>KujawskoPomorski!E44</f>
        <v>-</v>
      </c>
      <c r="G44" s="43" t="str">
        <f>Lubelski!E44</f>
        <v>-</v>
      </c>
      <c r="H44" s="43" t="str">
        <f>Lubuski!E44</f>
        <v>-</v>
      </c>
      <c r="I44" s="43" t="str">
        <f>Łódzki!E44</f>
        <v>-</v>
      </c>
      <c r="J44" s="43" t="str">
        <f>Małopolski!E44</f>
        <v>-</v>
      </c>
      <c r="K44" s="43" t="str">
        <f>Mazowiecki!E44</f>
        <v>-</v>
      </c>
      <c r="L44" s="43" t="str">
        <f>Opolski!E44</f>
        <v>-</v>
      </c>
      <c r="M44" s="43" t="str">
        <f>Podkarpacki!E44</f>
        <v>-</v>
      </c>
      <c r="N44" s="43" t="str">
        <f>Podlaski!E44</f>
        <v>-</v>
      </c>
      <c r="O44" s="43" t="str">
        <f>Pomorski!E44</f>
        <v>-</v>
      </c>
      <c r="P44" s="43" t="str">
        <f>Śląski!E44</f>
        <v>-</v>
      </c>
      <c r="Q44" s="43" t="str">
        <f>Świętokrzyski!E44</f>
        <v>-</v>
      </c>
      <c r="R44" s="43" t="str">
        <f>WarmińskoMazurski!E44</f>
        <v>-</v>
      </c>
      <c r="S44" s="43" t="str">
        <f>Wielkopolski!E44</f>
        <v>-</v>
      </c>
      <c r="T44" s="43" t="str">
        <f>Zachodniopomorski!E44</f>
        <v>-</v>
      </c>
    </row>
    <row r="45" spans="1:20" ht="49.5" hidden="1" customHeight="1" x14ac:dyDescent="0.2">
      <c r="A45" s="99" t="s">
        <v>41</v>
      </c>
      <c r="B45" s="90" t="s">
        <v>34</v>
      </c>
      <c r="C45" s="43" t="str">
        <f>CENTRALA!E45</f>
        <v>-</v>
      </c>
      <c r="D45" s="37">
        <f t="shared" si="0"/>
        <v>0</v>
      </c>
      <c r="E45" s="43" t="str">
        <f>Dolnośląski!E45</f>
        <v>-</v>
      </c>
      <c r="F45" s="43" t="str">
        <f>KujawskoPomorski!E45</f>
        <v>-</v>
      </c>
      <c r="G45" s="43" t="str">
        <f>Lubelski!E45</f>
        <v>-</v>
      </c>
      <c r="H45" s="43" t="str">
        <f>Lubuski!E45</f>
        <v>-</v>
      </c>
      <c r="I45" s="43" t="str">
        <f>Łódzki!E45</f>
        <v>-</v>
      </c>
      <c r="J45" s="43" t="str">
        <f>Małopolski!E45</f>
        <v>-</v>
      </c>
      <c r="K45" s="43" t="str">
        <f>Mazowiecki!E45</f>
        <v>-</v>
      </c>
      <c r="L45" s="43" t="str">
        <f>Opolski!E45</f>
        <v>-</v>
      </c>
      <c r="M45" s="43" t="str">
        <f>Podkarpacki!E45</f>
        <v>-</v>
      </c>
      <c r="N45" s="43" t="str">
        <f>Podlaski!E45</f>
        <v>-</v>
      </c>
      <c r="O45" s="43" t="str">
        <f>Pomorski!E45</f>
        <v>-</v>
      </c>
      <c r="P45" s="43" t="str">
        <f>Śląski!E45</f>
        <v>-</v>
      </c>
      <c r="Q45" s="43" t="str">
        <f>Świętokrzyski!E45</f>
        <v>-</v>
      </c>
      <c r="R45" s="43" t="str">
        <f>WarmińskoMazurski!E45</f>
        <v>-</v>
      </c>
      <c r="S45" s="43" t="str">
        <f>Wielkopolski!E45</f>
        <v>-</v>
      </c>
      <c r="T45" s="43" t="str">
        <f>Zachodniopomorski!E45</f>
        <v>-</v>
      </c>
    </row>
    <row r="46" spans="1:20" ht="31.5" hidden="1" customHeight="1" x14ac:dyDescent="0.2">
      <c r="A46" s="99" t="s">
        <v>42</v>
      </c>
      <c r="B46" s="90" t="s">
        <v>35</v>
      </c>
      <c r="C46" s="43" t="str">
        <f>CENTRALA!E46</f>
        <v>-</v>
      </c>
      <c r="D46" s="37">
        <f t="shared" si="0"/>
        <v>0</v>
      </c>
      <c r="E46" s="43" t="str">
        <f>Dolnośląski!E46</f>
        <v>-</v>
      </c>
      <c r="F46" s="43" t="str">
        <f>KujawskoPomorski!E46</f>
        <v>-</v>
      </c>
      <c r="G46" s="43" t="str">
        <f>Lubelski!E46</f>
        <v>-</v>
      </c>
      <c r="H46" s="43" t="str">
        <f>Lubuski!E46</f>
        <v>-</v>
      </c>
      <c r="I46" s="43" t="str">
        <f>Łódzki!E46</f>
        <v>-</v>
      </c>
      <c r="J46" s="43" t="str">
        <f>Małopolski!E46</f>
        <v>-</v>
      </c>
      <c r="K46" s="43" t="str">
        <f>Mazowiecki!E46</f>
        <v>-</v>
      </c>
      <c r="L46" s="43" t="str">
        <f>Opolski!E46</f>
        <v>-</v>
      </c>
      <c r="M46" s="43" t="str">
        <f>Podkarpacki!E46</f>
        <v>-</v>
      </c>
      <c r="N46" s="43" t="str">
        <f>Podlaski!E46</f>
        <v>-</v>
      </c>
      <c r="O46" s="43" t="str">
        <f>Pomorski!E46</f>
        <v>-</v>
      </c>
      <c r="P46" s="43" t="str">
        <f>Śląski!E46</f>
        <v>-</v>
      </c>
      <c r="Q46" s="43" t="str">
        <f>Świętokrzyski!E46</f>
        <v>-</v>
      </c>
      <c r="R46" s="43" t="str">
        <f>WarmińskoMazurski!E46</f>
        <v>-</v>
      </c>
      <c r="S46" s="43" t="str">
        <f>Wielkopolski!E46</f>
        <v>-</v>
      </c>
      <c r="T46" s="43" t="str">
        <f>Zachodniopomorski!E46</f>
        <v>-</v>
      </c>
    </row>
    <row r="47" spans="1:20" ht="31.5" hidden="1" customHeight="1" x14ac:dyDescent="0.2">
      <c r="A47" s="99" t="s">
        <v>43</v>
      </c>
      <c r="B47" s="90" t="s">
        <v>36</v>
      </c>
      <c r="C47" s="43" t="str">
        <f>CENTRALA!E47</f>
        <v>-</v>
      </c>
      <c r="D47" s="37">
        <f t="shared" si="0"/>
        <v>0</v>
      </c>
      <c r="E47" s="43" t="str">
        <f>Dolnośląski!E47</f>
        <v>-</v>
      </c>
      <c r="F47" s="43" t="str">
        <f>KujawskoPomorski!E47</f>
        <v>-</v>
      </c>
      <c r="G47" s="43" t="str">
        <f>Lubelski!E47</f>
        <v>-</v>
      </c>
      <c r="H47" s="43" t="str">
        <f>Lubuski!E47</f>
        <v>-</v>
      </c>
      <c r="I47" s="43" t="str">
        <f>Łódzki!E47</f>
        <v>-</v>
      </c>
      <c r="J47" s="43" t="str">
        <f>Małopolski!E47</f>
        <v>-</v>
      </c>
      <c r="K47" s="43" t="str">
        <f>Mazowiecki!E47</f>
        <v>-</v>
      </c>
      <c r="L47" s="43" t="str">
        <f>Opolski!E47</f>
        <v>-</v>
      </c>
      <c r="M47" s="43" t="str">
        <f>Podkarpacki!E47</f>
        <v>-</v>
      </c>
      <c r="N47" s="43" t="str">
        <f>Podlaski!E47</f>
        <v>-</v>
      </c>
      <c r="O47" s="43" t="str">
        <f>Pomorski!E47</f>
        <v>-</v>
      </c>
      <c r="P47" s="43" t="str">
        <f>Śląski!E47</f>
        <v>-</v>
      </c>
      <c r="Q47" s="43" t="str">
        <f>Świętokrzyski!E47</f>
        <v>-</v>
      </c>
      <c r="R47" s="43" t="str">
        <f>WarmińskoMazurski!E47</f>
        <v>-</v>
      </c>
      <c r="S47" s="43" t="str">
        <f>Wielkopolski!E47</f>
        <v>-</v>
      </c>
      <c r="T47" s="43" t="str">
        <f>Zachodniopomorski!E47</f>
        <v>-</v>
      </c>
    </row>
    <row r="48" spans="1:20" ht="31.5" hidden="1" customHeight="1" x14ac:dyDescent="0.2">
      <c r="A48" s="99" t="s">
        <v>44</v>
      </c>
      <c r="B48" s="90" t="s">
        <v>37</v>
      </c>
      <c r="C48" s="43" t="str">
        <f>CENTRALA!E48</f>
        <v>-</v>
      </c>
      <c r="D48" s="37">
        <f t="shared" si="0"/>
        <v>0</v>
      </c>
      <c r="E48" s="43" t="str">
        <f>Dolnośląski!E48</f>
        <v>-</v>
      </c>
      <c r="F48" s="43" t="str">
        <f>KujawskoPomorski!E48</f>
        <v>-</v>
      </c>
      <c r="G48" s="43" t="str">
        <f>Lubelski!E48</f>
        <v>-</v>
      </c>
      <c r="H48" s="43" t="str">
        <f>Lubuski!E48</f>
        <v>-</v>
      </c>
      <c r="I48" s="43" t="str">
        <f>Łódzki!E48</f>
        <v>-</v>
      </c>
      <c r="J48" s="43" t="str">
        <f>Małopolski!E48</f>
        <v>-</v>
      </c>
      <c r="K48" s="43" t="str">
        <f>Mazowiecki!E48</f>
        <v>-</v>
      </c>
      <c r="L48" s="43" t="str">
        <f>Opolski!E48</f>
        <v>-</v>
      </c>
      <c r="M48" s="43" t="str">
        <f>Podkarpacki!E48</f>
        <v>-</v>
      </c>
      <c r="N48" s="43" t="str">
        <f>Podlaski!E48</f>
        <v>-</v>
      </c>
      <c r="O48" s="43" t="str">
        <f>Pomorski!E48</f>
        <v>-</v>
      </c>
      <c r="P48" s="43" t="str">
        <f>Śląski!E48</f>
        <v>-</v>
      </c>
      <c r="Q48" s="43" t="str">
        <f>Świętokrzyski!E48</f>
        <v>-</v>
      </c>
      <c r="R48" s="43" t="str">
        <f>WarmińskoMazurski!E48</f>
        <v>-</v>
      </c>
      <c r="S48" s="43" t="str">
        <f>Wielkopolski!E48</f>
        <v>-</v>
      </c>
      <c r="T48" s="43" t="str">
        <f>Zachodniopomorski!E48</f>
        <v>-</v>
      </c>
    </row>
    <row r="49" spans="1:20" ht="31.5" hidden="1" customHeight="1" x14ac:dyDescent="0.2">
      <c r="A49" s="99" t="s">
        <v>45</v>
      </c>
      <c r="B49" s="90" t="s">
        <v>38</v>
      </c>
      <c r="C49" s="43" t="str">
        <f>CENTRALA!E49</f>
        <v>-</v>
      </c>
      <c r="D49" s="37">
        <f t="shared" si="0"/>
        <v>0</v>
      </c>
      <c r="E49" s="43" t="str">
        <f>Dolnośląski!E49</f>
        <v>-</v>
      </c>
      <c r="F49" s="43" t="str">
        <f>KujawskoPomorski!E49</f>
        <v>-</v>
      </c>
      <c r="G49" s="43" t="str">
        <f>Lubelski!E49</f>
        <v>-</v>
      </c>
      <c r="H49" s="43" t="str">
        <f>Lubuski!E49</f>
        <v>-</v>
      </c>
      <c r="I49" s="43" t="str">
        <f>Łódzki!E49</f>
        <v>-</v>
      </c>
      <c r="J49" s="43" t="str">
        <f>Małopolski!E49</f>
        <v>-</v>
      </c>
      <c r="K49" s="43" t="str">
        <f>Mazowiecki!E49</f>
        <v>-</v>
      </c>
      <c r="L49" s="43" t="str">
        <f>Opolski!E49</f>
        <v>-</v>
      </c>
      <c r="M49" s="43" t="str">
        <f>Podkarpacki!E49</f>
        <v>-</v>
      </c>
      <c r="N49" s="43" t="str">
        <f>Podlaski!E49</f>
        <v>-</v>
      </c>
      <c r="O49" s="43" t="str">
        <f>Pomorski!E49</f>
        <v>-</v>
      </c>
      <c r="P49" s="43" t="str">
        <f>Śląski!E49</f>
        <v>-</v>
      </c>
      <c r="Q49" s="43" t="str">
        <f>Świętokrzyski!E49</f>
        <v>-</v>
      </c>
      <c r="R49" s="43" t="str">
        <f>WarmińskoMazurski!E49</f>
        <v>-</v>
      </c>
      <c r="S49" s="43" t="str">
        <f>Wielkopolski!E49</f>
        <v>-</v>
      </c>
      <c r="T49" s="43" t="str">
        <f>Zachodniopomorski!E49</f>
        <v>-</v>
      </c>
    </row>
    <row r="50" spans="1:20" ht="31.5" hidden="1" customHeight="1" x14ac:dyDescent="0.2">
      <c r="A50" s="96" t="s">
        <v>22</v>
      </c>
      <c r="B50" s="20" t="s">
        <v>159</v>
      </c>
      <c r="C50" s="43" t="str">
        <f>CENTRALA!E50</f>
        <v>-</v>
      </c>
      <c r="D50" s="37">
        <f t="shared" si="0"/>
        <v>0</v>
      </c>
      <c r="E50" s="43" t="str">
        <f>Dolnośląski!E50</f>
        <v>-</v>
      </c>
      <c r="F50" s="43" t="str">
        <f>KujawskoPomorski!E50</f>
        <v>-</v>
      </c>
      <c r="G50" s="43" t="str">
        <f>Lubelski!E50</f>
        <v>-</v>
      </c>
      <c r="H50" s="43" t="str">
        <f>Lubuski!E50</f>
        <v>-</v>
      </c>
      <c r="I50" s="43" t="str">
        <f>Łódzki!E50</f>
        <v>-</v>
      </c>
      <c r="J50" s="43" t="str">
        <f>Małopolski!E50</f>
        <v>-</v>
      </c>
      <c r="K50" s="43" t="str">
        <f>Mazowiecki!E50</f>
        <v>-</v>
      </c>
      <c r="L50" s="43" t="str">
        <f>Opolski!E50</f>
        <v>-</v>
      </c>
      <c r="M50" s="43" t="str">
        <f>Podkarpacki!E50</f>
        <v>-</v>
      </c>
      <c r="N50" s="43" t="str">
        <f>Podlaski!E50</f>
        <v>-</v>
      </c>
      <c r="O50" s="43" t="str">
        <f>Pomorski!E50</f>
        <v>-</v>
      </c>
      <c r="P50" s="43" t="str">
        <f>Śląski!E50</f>
        <v>-</v>
      </c>
      <c r="Q50" s="43" t="str">
        <f>Świętokrzyski!E50</f>
        <v>-</v>
      </c>
      <c r="R50" s="43" t="str">
        <f>WarmińskoMazurski!E50</f>
        <v>-</v>
      </c>
      <c r="S50" s="43" t="str">
        <f>Wielkopolski!E50</f>
        <v>-</v>
      </c>
      <c r="T50" s="43" t="str">
        <f>Zachodniopomorski!E50</f>
        <v>-</v>
      </c>
    </row>
    <row r="51" spans="1:20" ht="31.5" hidden="1" customHeight="1" x14ac:dyDescent="0.2">
      <c r="A51" s="99" t="s">
        <v>160</v>
      </c>
      <c r="B51" s="90" t="s">
        <v>161</v>
      </c>
      <c r="C51" s="43" t="str">
        <f>CENTRALA!E51</f>
        <v>-</v>
      </c>
      <c r="D51" s="37">
        <f t="shared" si="0"/>
        <v>0</v>
      </c>
      <c r="E51" s="43" t="str">
        <f>Dolnośląski!E51</f>
        <v>-</v>
      </c>
      <c r="F51" s="43" t="str">
        <f>KujawskoPomorski!E51</f>
        <v>-</v>
      </c>
      <c r="G51" s="43" t="str">
        <f>Lubelski!E51</f>
        <v>-</v>
      </c>
      <c r="H51" s="43" t="str">
        <f>Lubuski!E51</f>
        <v>-</v>
      </c>
      <c r="I51" s="43" t="str">
        <f>Łódzki!E51</f>
        <v>-</v>
      </c>
      <c r="J51" s="43" t="str">
        <f>Małopolski!E51</f>
        <v>-</v>
      </c>
      <c r="K51" s="43" t="str">
        <f>Mazowiecki!E51</f>
        <v>-</v>
      </c>
      <c r="L51" s="43" t="str">
        <f>Opolski!E51</f>
        <v>-</v>
      </c>
      <c r="M51" s="43" t="str">
        <f>Podkarpacki!E51</f>
        <v>-</v>
      </c>
      <c r="N51" s="43" t="str">
        <f>Podlaski!E51</f>
        <v>-</v>
      </c>
      <c r="O51" s="43" t="str">
        <f>Pomorski!E51</f>
        <v>-</v>
      </c>
      <c r="P51" s="43" t="str">
        <f>Śląski!E51</f>
        <v>-</v>
      </c>
      <c r="Q51" s="43" t="str">
        <f>Świętokrzyski!E51</f>
        <v>-</v>
      </c>
      <c r="R51" s="43" t="str">
        <f>WarmińskoMazurski!E51</f>
        <v>-</v>
      </c>
      <c r="S51" s="43" t="str">
        <f>Wielkopolski!E51</f>
        <v>-</v>
      </c>
      <c r="T51" s="43" t="str">
        <f>Zachodniopomorski!E51</f>
        <v>-</v>
      </c>
    </row>
    <row r="52" spans="1:20" ht="49.5" hidden="1" customHeight="1" x14ac:dyDescent="0.2">
      <c r="A52" s="96" t="s">
        <v>23</v>
      </c>
      <c r="B52" s="21" t="s">
        <v>227</v>
      </c>
      <c r="C52" s="43" t="str">
        <f>CENTRALA!E52</f>
        <v>-</v>
      </c>
      <c r="D52" s="37">
        <f t="shared" si="0"/>
        <v>0</v>
      </c>
      <c r="E52" s="43" t="str">
        <f>Dolnośląski!E52</f>
        <v>-</v>
      </c>
      <c r="F52" s="43" t="str">
        <f>KujawskoPomorski!E52</f>
        <v>-</v>
      </c>
      <c r="G52" s="43" t="str">
        <f>Lubelski!E52</f>
        <v>-</v>
      </c>
      <c r="H52" s="43" t="str">
        <f>Lubuski!E52</f>
        <v>-</v>
      </c>
      <c r="I52" s="43" t="str">
        <f>Łódzki!E52</f>
        <v>-</v>
      </c>
      <c r="J52" s="43" t="str">
        <f>Małopolski!E52</f>
        <v>-</v>
      </c>
      <c r="K52" s="43" t="str">
        <f>Mazowiecki!E52</f>
        <v>-</v>
      </c>
      <c r="L52" s="43" t="str">
        <f>Opolski!E52</f>
        <v>-</v>
      </c>
      <c r="M52" s="43" t="str">
        <f>Podkarpacki!E52</f>
        <v>-</v>
      </c>
      <c r="N52" s="43" t="str">
        <f>Podlaski!E52</f>
        <v>-</v>
      </c>
      <c r="O52" s="43" t="str">
        <f>Pomorski!E52</f>
        <v>-</v>
      </c>
      <c r="P52" s="43" t="str">
        <f>Śląski!E52</f>
        <v>-</v>
      </c>
      <c r="Q52" s="43" t="str">
        <f>Świętokrzyski!E52</f>
        <v>-</v>
      </c>
      <c r="R52" s="43" t="str">
        <f>WarmińskoMazurski!E52</f>
        <v>-</v>
      </c>
      <c r="S52" s="43" t="str">
        <f>Wielkopolski!E52</f>
        <v>-</v>
      </c>
      <c r="T52" s="43" t="str">
        <f>Zachodniopomorski!E52</f>
        <v>-</v>
      </c>
    </row>
    <row r="53" spans="1:20" ht="31.5" hidden="1" customHeight="1" x14ac:dyDescent="0.2">
      <c r="A53" s="99" t="s">
        <v>50</v>
      </c>
      <c r="B53" s="90" t="s">
        <v>46</v>
      </c>
      <c r="C53" s="43" t="str">
        <f>CENTRALA!E53</f>
        <v>-</v>
      </c>
      <c r="D53" s="37">
        <f t="shared" si="0"/>
        <v>0</v>
      </c>
      <c r="E53" s="43" t="str">
        <f>Dolnośląski!E53</f>
        <v>-</v>
      </c>
      <c r="F53" s="43" t="str">
        <f>KujawskoPomorski!E53</f>
        <v>-</v>
      </c>
      <c r="G53" s="43" t="str">
        <f>Lubelski!E53</f>
        <v>-</v>
      </c>
      <c r="H53" s="43" t="str">
        <f>Lubuski!E53</f>
        <v>-</v>
      </c>
      <c r="I53" s="43" t="str">
        <f>Łódzki!E53</f>
        <v>-</v>
      </c>
      <c r="J53" s="43" t="str">
        <f>Małopolski!E53</f>
        <v>-</v>
      </c>
      <c r="K53" s="43" t="str">
        <f>Mazowiecki!E53</f>
        <v>-</v>
      </c>
      <c r="L53" s="43" t="str">
        <f>Opolski!E53</f>
        <v>-</v>
      </c>
      <c r="M53" s="43" t="str">
        <f>Podkarpacki!E53</f>
        <v>-</v>
      </c>
      <c r="N53" s="43" t="str">
        <f>Podlaski!E53</f>
        <v>-</v>
      </c>
      <c r="O53" s="43" t="str">
        <f>Pomorski!E53</f>
        <v>-</v>
      </c>
      <c r="P53" s="43" t="str">
        <f>Śląski!E53</f>
        <v>-</v>
      </c>
      <c r="Q53" s="43" t="str">
        <f>Świętokrzyski!E53</f>
        <v>-</v>
      </c>
      <c r="R53" s="43" t="str">
        <f>WarmińskoMazurski!E53</f>
        <v>-</v>
      </c>
      <c r="S53" s="43" t="str">
        <f>Wielkopolski!E53</f>
        <v>-</v>
      </c>
      <c r="T53" s="43" t="str">
        <f>Zachodniopomorski!E53</f>
        <v>-</v>
      </c>
    </row>
    <row r="54" spans="1:20" ht="31.5" hidden="1" customHeight="1" x14ac:dyDescent="0.2">
      <c r="A54" s="99" t="s">
        <v>51</v>
      </c>
      <c r="B54" s="90" t="s">
        <v>47</v>
      </c>
      <c r="C54" s="43" t="str">
        <f>CENTRALA!E54</f>
        <v>-</v>
      </c>
      <c r="D54" s="37">
        <f t="shared" si="0"/>
        <v>0</v>
      </c>
      <c r="E54" s="43" t="str">
        <f>Dolnośląski!E54</f>
        <v>-</v>
      </c>
      <c r="F54" s="43" t="str">
        <f>KujawskoPomorski!E54</f>
        <v>-</v>
      </c>
      <c r="G54" s="43" t="str">
        <f>Lubelski!E54</f>
        <v>-</v>
      </c>
      <c r="H54" s="43" t="str">
        <f>Lubuski!E54</f>
        <v>-</v>
      </c>
      <c r="I54" s="43" t="str">
        <f>Łódzki!E54</f>
        <v>-</v>
      </c>
      <c r="J54" s="43" t="str">
        <f>Małopolski!E54</f>
        <v>-</v>
      </c>
      <c r="K54" s="43" t="str">
        <f>Mazowiecki!E54</f>
        <v>-</v>
      </c>
      <c r="L54" s="43" t="str">
        <f>Opolski!E54</f>
        <v>-</v>
      </c>
      <c r="M54" s="43" t="str">
        <f>Podkarpacki!E54</f>
        <v>-</v>
      </c>
      <c r="N54" s="43" t="str">
        <f>Podlaski!E54</f>
        <v>-</v>
      </c>
      <c r="O54" s="43" t="str">
        <f>Pomorski!E54</f>
        <v>-</v>
      </c>
      <c r="P54" s="43" t="str">
        <f>Śląski!E54</f>
        <v>-</v>
      </c>
      <c r="Q54" s="43" t="str">
        <f>Świętokrzyski!E54</f>
        <v>-</v>
      </c>
      <c r="R54" s="43" t="str">
        <f>WarmińskoMazurski!E54</f>
        <v>-</v>
      </c>
      <c r="S54" s="43" t="str">
        <f>Wielkopolski!E54</f>
        <v>-</v>
      </c>
      <c r="T54" s="43" t="str">
        <f>Zachodniopomorski!E54</f>
        <v>-</v>
      </c>
    </row>
    <row r="55" spans="1:20" ht="49.5" hidden="1" customHeight="1" x14ac:dyDescent="0.2">
      <c r="A55" s="99" t="s">
        <v>52</v>
      </c>
      <c r="B55" s="90" t="s">
        <v>48</v>
      </c>
      <c r="C55" s="43" t="str">
        <f>CENTRALA!E55</f>
        <v>-</v>
      </c>
      <c r="D55" s="37">
        <f t="shared" si="0"/>
        <v>0</v>
      </c>
      <c r="E55" s="43" t="str">
        <f>Dolnośląski!E55</f>
        <v>-</v>
      </c>
      <c r="F55" s="43" t="str">
        <f>KujawskoPomorski!E55</f>
        <v>-</v>
      </c>
      <c r="G55" s="43" t="str">
        <f>Lubelski!E55</f>
        <v>-</v>
      </c>
      <c r="H55" s="43" t="str">
        <f>Lubuski!E55</f>
        <v>-</v>
      </c>
      <c r="I55" s="43" t="str">
        <f>Łódzki!E55</f>
        <v>-</v>
      </c>
      <c r="J55" s="43" t="str">
        <f>Małopolski!E55</f>
        <v>-</v>
      </c>
      <c r="K55" s="43" t="str">
        <f>Mazowiecki!E55</f>
        <v>-</v>
      </c>
      <c r="L55" s="43" t="str">
        <f>Opolski!E55</f>
        <v>-</v>
      </c>
      <c r="M55" s="43" t="str">
        <f>Podkarpacki!E55</f>
        <v>-</v>
      </c>
      <c r="N55" s="43" t="str">
        <f>Podlaski!E55</f>
        <v>-</v>
      </c>
      <c r="O55" s="43" t="str">
        <f>Pomorski!E55</f>
        <v>-</v>
      </c>
      <c r="P55" s="43" t="str">
        <f>Śląski!E55</f>
        <v>-</v>
      </c>
      <c r="Q55" s="43" t="str">
        <f>Świętokrzyski!E55</f>
        <v>-</v>
      </c>
      <c r="R55" s="43" t="str">
        <f>WarmińskoMazurski!E55</f>
        <v>-</v>
      </c>
      <c r="S55" s="43" t="str">
        <f>Wielkopolski!E55</f>
        <v>-</v>
      </c>
      <c r="T55" s="43" t="str">
        <f>Zachodniopomorski!E55</f>
        <v>-</v>
      </c>
    </row>
    <row r="56" spans="1:20" ht="31.5" hidden="1" customHeight="1" x14ac:dyDescent="0.2">
      <c r="A56" s="99" t="s">
        <v>53</v>
      </c>
      <c r="B56" s="90" t="s">
        <v>49</v>
      </c>
      <c r="C56" s="43" t="str">
        <f>CENTRALA!E56</f>
        <v>-</v>
      </c>
      <c r="D56" s="37">
        <f t="shared" si="0"/>
        <v>0</v>
      </c>
      <c r="E56" s="43" t="str">
        <f>Dolnośląski!E56</f>
        <v>-</v>
      </c>
      <c r="F56" s="43" t="str">
        <f>KujawskoPomorski!E56</f>
        <v>-</v>
      </c>
      <c r="G56" s="43" t="str">
        <f>Lubelski!E56</f>
        <v>-</v>
      </c>
      <c r="H56" s="43" t="str">
        <f>Lubuski!E56</f>
        <v>-</v>
      </c>
      <c r="I56" s="43" t="str">
        <f>Łódzki!E56</f>
        <v>-</v>
      </c>
      <c r="J56" s="43" t="str">
        <f>Małopolski!E56</f>
        <v>-</v>
      </c>
      <c r="K56" s="43" t="str">
        <f>Mazowiecki!E56</f>
        <v>-</v>
      </c>
      <c r="L56" s="43" t="str">
        <f>Opolski!E56</f>
        <v>-</v>
      </c>
      <c r="M56" s="43" t="str">
        <f>Podkarpacki!E56</f>
        <v>-</v>
      </c>
      <c r="N56" s="43" t="str">
        <f>Podlaski!E56</f>
        <v>-</v>
      </c>
      <c r="O56" s="43" t="str">
        <f>Pomorski!E56</f>
        <v>-</v>
      </c>
      <c r="P56" s="43" t="str">
        <f>Śląski!E56</f>
        <v>-</v>
      </c>
      <c r="Q56" s="43" t="str">
        <f>Świętokrzyski!E56</f>
        <v>-</v>
      </c>
      <c r="R56" s="43" t="str">
        <f>WarmińskoMazurski!E56</f>
        <v>-</v>
      </c>
      <c r="S56" s="43" t="str">
        <f>Wielkopolski!E56</f>
        <v>-</v>
      </c>
      <c r="T56" s="43" t="str">
        <f>Zachodniopomorski!E56</f>
        <v>-</v>
      </c>
    </row>
    <row r="57" spans="1:20" ht="31.5" hidden="1" customHeight="1" x14ac:dyDescent="0.2">
      <c r="A57" s="96" t="s">
        <v>24</v>
      </c>
      <c r="B57" s="20" t="s">
        <v>25</v>
      </c>
      <c r="C57" s="43" t="str">
        <f>CENTRALA!E57</f>
        <v>-</v>
      </c>
      <c r="D57" s="37">
        <f t="shared" si="0"/>
        <v>0</v>
      </c>
      <c r="E57" s="43" t="str">
        <f>Dolnośląski!E57</f>
        <v>-</v>
      </c>
      <c r="F57" s="43" t="str">
        <f>KujawskoPomorski!E57</f>
        <v>-</v>
      </c>
      <c r="G57" s="43" t="str">
        <f>Lubelski!E57</f>
        <v>-</v>
      </c>
      <c r="H57" s="43" t="str">
        <f>Lubuski!E57</f>
        <v>-</v>
      </c>
      <c r="I57" s="43" t="str">
        <f>Łódzki!E57</f>
        <v>-</v>
      </c>
      <c r="J57" s="43" t="str">
        <f>Małopolski!E57</f>
        <v>-</v>
      </c>
      <c r="K57" s="43" t="str">
        <f>Mazowiecki!E57</f>
        <v>-</v>
      </c>
      <c r="L57" s="43" t="str">
        <f>Opolski!E57</f>
        <v>-</v>
      </c>
      <c r="M57" s="43" t="str">
        <f>Podkarpacki!E57</f>
        <v>-</v>
      </c>
      <c r="N57" s="43" t="str">
        <f>Podlaski!E57</f>
        <v>-</v>
      </c>
      <c r="O57" s="43" t="str">
        <f>Pomorski!E57</f>
        <v>-</v>
      </c>
      <c r="P57" s="43" t="str">
        <f>Śląski!E57</f>
        <v>-</v>
      </c>
      <c r="Q57" s="43" t="str">
        <f>Świętokrzyski!E57</f>
        <v>-</v>
      </c>
      <c r="R57" s="43" t="str">
        <f>WarmińskoMazurski!E57</f>
        <v>-</v>
      </c>
      <c r="S57" s="43" t="str">
        <f>Wielkopolski!E57</f>
        <v>-</v>
      </c>
      <c r="T57" s="43" t="str">
        <f>Zachodniopomorski!E57</f>
        <v>-</v>
      </c>
    </row>
    <row r="58" spans="1:20" ht="51.75" hidden="1" customHeight="1" x14ac:dyDescent="0.2">
      <c r="A58" s="96" t="s">
        <v>26</v>
      </c>
      <c r="B58" s="20" t="s">
        <v>162</v>
      </c>
      <c r="C58" s="43" t="str">
        <f>CENTRALA!E58</f>
        <v>-</v>
      </c>
      <c r="D58" s="37">
        <f>SUM(E58:T58)</f>
        <v>0</v>
      </c>
      <c r="E58" s="43" t="str">
        <f>Dolnośląski!E58</f>
        <v>-</v>
      </c>
      <c r="F58" s="43" t="str">
        <f>KujawskoPomorski!E58</f>
        <v>-</v>
      </c>
      <c r="G58" s="43" t="str">
        <f>Lubelski!E58</f>
        <v>-</v>
      </c>
      <c r="H58" s="43" t="str">
        <f>Lubuski!E58</f>
        <v>-</v>
      </c>
      <c r="I58" s="43" t="str">
        <f>Łódzki!E58</f>
        <v>-</v>
      </c>
      <c r="J58" s="43" t="str">
        <f>Małopolski!E58</f>
        <v>-</v>
      </c>
      <c r="K58" s="43" t="str">
        <f>Mazowiecki!E58</f>
        <v>-</v>
      </c>
      <c r="L58" s="43" t="str">
        <f>Opolski!E58</f>
        <v>-</v>
      </c>
      <c r="M58" s="43" t="str">
        <f>Podkarpacki!E58</f>
        <v>-</v>
      </c>
      <c r="N58" s="43" t="str">
        <f>Podlaski!E58</f>
        <v>-</v>
      </c>
      <c r="O58" s="43" t="str">
        <f>Pomorski!E58</f>
        <v>-</v>
      </c>
      <c r="P58" s="43" t="str">
        <f>Śląski!E58</f>
        <v>-</v>
      </c>
      <c r="Q58" s="43" t="str">
        <f>Świętokrzyski!E58</f>
        <v>-</v>
      </c>
      <c r="R58" s="43" t="str">
        <f>WarmińskoMazurski!E58</f>
        <v>-</v>
      </c>
      <c r="S58" s="43" t="str">
        <f>Wielkopolski!E58</f>
        <v>-</v>
      </c>
      <c r="T58" s="43" t="str">
        <f>Zachodniopomorski!E58</f>
        <v>-</v>
      </c>
    </row>
    <row r="59" spans="1:20" ht="31.5" hidden="1" customHeight="1" x14ac:dyDescent="0.2">
      <c r="A59" s="96" t="s">
        <v>27</v>
      </c>
      <c r="B59" s="20" t="s">
        <v>28</v>
      </c>
      <c r="C59" s="43" t="str">
        <f>CENTRALA!E59</f>
        <v>-</v>
      </c>
      <c r="D59" s="37">
        <f t="shared" si="0"/>
        <v>0</v>
      </c>
      <c r="E59" s="43" t="str">
        <f>Dolnośląski!E59</f>
        <v>-</v>
      </c>
      <c r="F59" s="43" t="str">
        <f>KujawskoPomorski!E59</f>
        <v>-</v>
      </c>
      <c r="G59" s="43" t="str">
        <f>Lubelski!E59</f>
        <v>-</v>
      </c>
      <c r="H59" s="43" t="str">
        <f>Lubuski!E59</f>
        <v>-</v>
      </c>
      <c r="I59" s="43" t="str">
        <f>Łódzki!E59</f>
        <v>-</v>
      </c>
      <c r="J59" s="43" t="str">
        <f>Małopolski!E59</f>
        <v>-</v>
      </c>
      <c r="K59" s="43" t="str">
        <f>Mazowiecki!E59</f>
        <v>-</v>
      </c>
      <c r="L59" s="43" t="str">
        <f>Opolski!E59</f>
        <v>-</v>
      </c>
      <c r="M59" s="43" t="str">
        <f>Podkarpacki!E59</f>
        <v>-</v>
      </c>
      <c r="N59" s="43" t="str">
        <f>Podlaski!E59</f>
        <v>-</v>
      </c>
      <c r="O59" s="43" t="str">
        <f>Pomorski!E59</f>
        <v>-</v>
      </c>
      <c r="P59" s="43" t="str">
        <f>Śląski!E59</f>
        <v>-</v>
      </c>
      <c r="Q59" s="43" t="str">
        <f>Świętokrzyski!E59</f>
        <v>-</v>
      </c>
      <c r="R59" s="43" t="str">
        <f>WarmińskoMazurski!E59</f>
        <v>-</v>
      </c>
      <c r="S59" s="43" t="str">
        <f>Wielkopolski!E59</f>
        <v>-</v>
      </c>
      <c r="T59" s="43" t="str">
        <f>Zachodniopomorski!E59</f>
        <v>-</v>
      </c>
    </row>
    <row r="60" spans="1:20" ht="31.5" hidden="1" customHeight="1" x14ac:dyDescent="0.2">
      <c r="A60" s="103" t="s">
        <v>29</v>
      </c>
      <c r="B60" s="18" t="s">
        <v>163</v>
      </c>
      <c r="C60" s="55" t="str">
        <f>CENTRALA!E60</f>
        <v>-</v>
      </c>
      <c r="D60" s="59">
        <f>SUM(E60:T60)</f>
        <v>0</v>
      </c>
      <c r="E60" s="55" t="str">
        <f>Dolnośląski!E60</f>
        <v>-</v>
      </c>
      <c r="F60" s="55" t="str">
        <f>KujawskoPomorski!E60</f>
        <v>-</v>
      </c>
      <c r="G60" s="55" t="str">
        <f>Lubelski!E60</f>
        <v>-</v>
      </c>
      <c r="H60" s="55" t="str">
        <f>Lubuski!E60</f>
        <v>-</v>
      </c>
      <c r="I60" s="55" t="str">
        <f>Łódzki!E60</f>
        <v>-</v>
      </c>
      <c r="J60" s="55" t="str">
        <f>Małopolski!E60</f>
        <v>-</v>
      </c>
      <c r="K60" s="55" t="str">
        <f>Mazowiecki!E60</f>
        <v>-</v>
      </c>
      <c r="L60" s="55" t="str">
        <f>Opolski!E60</f>
        <v>-</v>
      </c>
      <c r="M60" s="55" t="str">
        <f>Podkarpacki!E60</f>
        <v>-</v>
      </c>
      <c r="N60" s="55" t="str">
        <f>Podlaski!E60</f>
        <v>-</v>
      </c>
      <c r="O60" s="55" t="str">
        <f>Pomorski!E60</f>
        <v>-</v>
      </c>
      <c r="P60" s="55" t="str">
        <f>Śląski!E60</f>
        <v>-</v>
      </c>
      <c r="Q60" s="55" t="str">
        <f>Świętokrzyski!E60</f>
        <v>-</v>
      </c>
      <c r="R60" s="55" t="str">
        <f>WarmińskoMazurski!E60</f>
        <v>-</v>
      </c>
      <c r="S60" s="55" t="str">
        <f>Wielkopolski!E60</f>
        <v>-</v>
      </c>
      <c r="T60" s="55" t="str">
        <f>Zachodniopomorski!E60</f>
        <v>-</v>
      </c>
    </row>
    <row r="61" spans="1:20" ht="31.5" hidden="1" customHeight="1" x14ac:dyDescent="0.2">
      <c r="A61" s="96" t="s">
        <v>101</v>
      </c>
      <c r="B61" s="20" t="s">
        <v>115</v>
      </c>
      <c r="C61" s="57" t="str">
        <f>CENTRALA!E61</f>
        <v>-</v>
      </c>
      <c r="D61" s="56">
        <f t="shared" si="0"/>
        <v>0</v>
      </c>
      <c r="E61" s="57" t="str">
        <f>Dolnośląski!E61</f>
        <v>-</v>
      </c>
      <c r="F61" s="57" t="str">
        <f>KujawskoPomorski!E61</f>
        <v>-</v>
      </c>
      <c r="G61" s="57" t="str">
        <f>Lubelski!E61</f>
        <v>-</v>
      </c>
      <c r="H61" s="57" t="str">
        <f>Lubuski!E61</f>
        <v>-</v>
      </c>
      <c r="I61" s="57" t="str">
        <f>Łódzki!E61</f>
        <v>-</v>
      </c>
      <c r="J61" s="57" t="str">
        <f>Małopolski!E61</f>
        <v>-</v>
      </c>
      <c r="K61" s="57" t="str">
        <f>Mazowiecki!E61</f>
        <v>-</v>
      </c>
      <c r="L61" s="57" t="str">
        <f>Opolski!E61</f>
        <v>-</v>
      </c>
      <c r="M61" s="57" t="str">
        <f>Podkarpacki!E61</f>
        <v>-</v>
      </c>
      <c r="N61" s="57" t="str">
        <f>Podlaski!E61</f>
        <v>-</v>
      </c>
      <c r="O61" s="57" t="str">
        <f>Pomorski!E61</f>
        <v>-</v>
      </c>
      <c r="P61" s="57" t="str">
        <f>Śląski!E61</f>
        <v>-</v>
      </c>
      <c r="Q61" s="57" t="str">
        <f>Świętokrzyski!E61</f>
        <v>-</v>
      </c>
      <c r="R61" s="57" t="str">
        <f>WarmińskoMazurski!E61</f>
        <v>-</v>
      </c>
      <c r="S61" s="57" t="str">
        <f>Wielkopolski!E61</f>
        <v>-</v>
      </c>
      <c r="T61" s="57" t="str">
        <f>Zachodniopomorski!E61</f>
        <v>-</v>
      </c>
    </row>
    <row r="62" spans="1:20" ht="31.5" hidden="1" customHeight="1" x14ac:dyDescent="0.2">
      <c r="A62" s="96" t="s">
        <v>30</v>
      </c>
      <c r="B62" s="20" t="s">
        <v>55</v>
      </c>
      <c r="C62" s="57" t="str">
        <f>CENTRALA!E62</f>
        <v>-</v>
      </c>
      <c r="D62" s="56">
        <f t="shared" si="0"/>
        <v>0</v>
      </c>
      <c r="E62" s="57" t="str">
        <f>Dolnośląski!E62</f>
        <v>-</v>
      </c>
      <c r="F62" s="57" t="str">
        <f>KujawskoPomorski!E62</f>
        <v>-</v>
      </c>
      <c r="G62" s="57" t="str">
        <f>Lubelski!E62</f>
        <v>-</v>
      </c>
      <c r="H62" s="57" t="str">
        <f>Lubuski!E62</f>
        <v>-</v>
      </c>
      <c r="I62" s="57" t="str">
        <f>Łódzki!E62</f>
        <v>-</v>
      </c>
      <c r="J62" s="57" t="str">
        <f>Małopolski!E62</f>
        <v>-</v>
      </c>
      <c r="K62" s="57" t="str">
        <f>Mazowiecki!E62</f>
        <v>-</v>
      </c>
      <c r="L62" s="57" t="str">
        <f>Opolski!E62</f>
        <v>-</v>
      </c>
      <c r="M62" s="57" t="str">
        <f>Podkarpacki!E62</f>
        <v>-</v>
      </c>
      <c r="N62" s="57" t="str">
        <f>Podlaski!E62</f>
        <v>-</v>
      </c>
      <c r="O62" s="57" t="str">
        <f>Pomorski!E62</f>
        <v>-</v>
      </c>
      <c r="P62" s="57" t="str">
        <f>Śląski!E62</f>
        <v>-</v>
      </c>
      <c r="Q62" s="57" t="str">
        <f>Świętokrzyski!E62</f>
        <v>-</v>
      </c>
      <c r="R62" s="57" t="str">
        <f>WarmińskoMazurski!E62</f>
        <v>-</v>
      </c>
      <c r="S62" s="57" t="str">
        <f>Wielkopolski!E62</f>
        <v>-</v>
      </c>
      <c r="T62" s="57" t="str">
        <f>Zachodniopomorski!E62</f>
        <v>-</v>
      </c>
    </row>
    <row r="63" spans="1:20" ht="31.5" hidden="1" customHeight="1" x14ac:dyDescent="0.2">
      <c r="A63" s="96" t="s">
        <v>31</v>
      </c>
      <c r="B63" s="20" t="s">
        <v>103</v>
      </c>
      <c r="C63" s="57" t="str">
        <f>CENTRALA!E63</f>
        <v>-</v>
      </c>
      <c r="D63" s="56">
        <f t="shared" si="0"/>
        <v>0</v>
      </c>
      <c r="E63" s="57" t="str">
        <f>Dolnośląski!E63</f>
        <v>-</v>
      </c>
      <c r="F63" s="57" t="str">
        <f>KujawskoPomorski!E63</f>
        <v>-</v>
      </c>
      <c r="G63" s="57" t="str">
        <f>Lubelski!E63</f>
        <v>-</v>
      </c>
      <c r="H63" s="57" t="str">
        <f>Lubuski!E63</f>
        <v>-</v>
      </c>
      <c r="I63" s="57" t="str">
        <f>Łódzki!E63</f>
        <v>-</v>
      </c>
      <c r="J63" s="57" t="str">
        <f>Małopolski!E63</f>
        <v>-</v>
      </c>
      <c r="K63" s="57" t="str">
        <f>Mazowiecki!E63</f>
        <v>-</v>
      </c>
      <c r="L63" s="57" t="str">
        <f>Opolski!E63</f>
        <v>-</v>
      </c>
      <c r="M63" s="57" t="str">
        <f>Podkarpacki!E63</f>
        <v>-</v>
      </c>
      <c r="N63" s="57" t="str">
        <f>Podlaski!E63</f>
        <v>-</v>
      </c>
      <c r="O63" s="57" t="str">
        <f>Pomorski!E63</f>
        <v>-</v>
      </c>
      <c r="P63" s="57" t="str">
        <f>Śląski!E63</f>
        <v>-</v>
      </c>
      <c r="Q63" s="57" t="str">
        <f>Świętokrzyski!E63</f>
        <v>-</v>
      </c>
      <c r="R63" s="57" t="str">
        <f>WarmińskoMazurski!E63</f>
        <v>-</v>
      </c>
      <c r="S63" s="57" t="str">
        <f>Wielkopolski!E63</f>
        <v>-</v>
      </c>
      <c r="T63" s="57" t="str">
        <f>Zachodniopomorski!E63</f>
        <v>-</v>
      </c>
    </row>
    <row r="64" spans="1:20" ht="31.5" hidden="1" customHeight="1" x14ac:dyDescent="0.2">
      <c r="A64" s="96" t="s">
        <v>102</v>
      </c>
      <c r="B64" s="20" t="s">
        <v>104</v>
      </c>
      <c r="C64" s="57" t="str">
        <f>CENTRALA!E64</f>
        <v>-</v>
      </c>
      <c r="D64" s="56">
        <f t="shared" si="0"/>
        <v>0</v>
      </c>
      <c r="E64" s="57" t="str">
        <f>Dolnośląski!E64</f>
        <v>-</v>
      </c>
      <c r="F64" s="57" t="str">
        <f>KujawskoPomorski!E64</f>
        <v>-</v>
      </c>
      <c r="G64" s="57" t="str">
        <f>Lubelski!E64</f>
        <v>-</v>
      </c>
      <c r="H64" s="57" t="str">
        <f>Lubuski!E64</f>
        <v>-</v>
      </c>
      <c r="I64" s="57" t="str">
        <f>Łódzki!E64</f>
        <v>-</v>
      </c>
      <c r="J64" s="57" t="str">
        <f>Małopolski!E64</f>
        <v>-</v>
      </c>
      <c r="K64" s="57" t="str">
        <f>Mazowiecki!E64</f>
        <v>-</v>
      </c>
      <c r="L64" s="57" t="str">
        <f>Opolski!E64</f>
        <v>-</v>
      </c>
      <c r="M64" s="57" t="str">
        <f>Podkarpacki!E64</f>
        <v>-</v>
      </c>
      <c r="N64" s="57" t="str">
        <f>Podlaski!E64</f>
        <v>-</v>
      </c>
      <c r="O64" s="57" t="str">
        <f>Pomorski!E64</f>
        <v>-</v>
      </c>
      <c r="P64" s="57" t="str">
        <f>Śląski!E64</f>
        <v>-</v>
      </c>
      <c r="Q64" s="57" t="str">
        <f>Świętokrzyski!E64</f>
        <v>-</v>
      </c>
      <c r="R64" s="57" t="str">
        <f>WarmińskoMazurski!E64</f>
        <v>-</v>
      </c>
      <c r="S64" s="57" t="str">
        <f>Wielkopolski!E64</f>
        <v>-</v>
      </c>
      <c r="T64" s="57" t="str">
        <f>Zachodniopomorski!E64</f>
        <v>-</v>
      </c>
    </row>
    <row r="65" spans="1:20" ht="31.5" hidden="1" customHeight="1" x14ac:dyDescent="0.2">
      <c r="A65" s="100" t="s">
        <v>109</v>
      </c>
      <c r="B65" s="22" t="s">
        <v>116</v>
      </c>
      <c r="C65" s="55" t="str">
        <f>CENTRALA!E65</f>
        <v>-</v>
      </c>
      <c r="D65" s="58">
        <f t="shared" si="0"/>
        <v>0</v>
      </c>
      <c r="E65" s="55" t="str">
        <f>Dolnośląski!E65</f>
        <v>-</v>
      </c>
      <c r="F65" s="55" t="str">
        <f>KujawskoPomorski!E65</f>
        <v>-</v>
      </c>
      <c r="G65" s="55" t="str">
        <f>Lubelski!E65</f>
        <v>-</v>
      </c>
      <c r="H65" s="55" t="str">
        <f>Lubuski!E65</f>
        <v>-</v>
      </c>
      <c r="I65" s="55" t="str">
        <f>Łódzki!E65</f>
        <v>-</v>
      </c>
      <c r="J65" s="55" t="str">
        <f>Małopolski!E65</f>
        <v>-</v>
      </c>
      <c r="K65" s="55" t="str">
        <f>Mazowiecki!E65</f>
        <v>-</v>
      </c>
      <c r="L65" s="55" t="str">
        <f>Opolski!E65</f>
        <v>-</v>
      </c>
      <c r="M65" s="55" t="str">
        <f>Podkarpacki!E65</f>
        <v>-</v>
      </c>
      <c r="N65" s="55" t="str">
        <f>Podlaski!E65</f>
        <v>-</v>
      </c>
      <c r="O65" s="55" t="str">
        <f>Pomorski!E65</f>
        <v>-</v>
      </c>
      <c r="P65" s="55" t="str">
        <f>Śląski!E65</f>
        <v>-</v>
      </c>
      <c r="Q65" s="55" t="str">
        <f>Świętokrzyski!E65</f>
        <v>-</v>
      </c>
      <c r="R65" s="55" t="str">
        <f>WarmińskoMazurski!E65</f>
        <v>-</v>
      </c>
      <c r="S65" s="55" t="str">
        <f>Wielkopolski!E65</f>
        <v>-</v>
      </c>
      <c r="T65" s="55" t="str">
        <f>Zachodniopomorski!E65</f>
        <v>-</v>
      </c>
    </row>
    <row r="66" spans="1:20" ht="31.5" hidden="1" customHeight="1" x14ac:dyDescent="0.2">
      <c r="B66" s="22" t="s">
        <v>116</v>
      </c>
    </row>
    <row r="67" spans="1:20" ht="31.5" hidden="1" customHeight="1" x14ac:dyDescent="0.2"/>
    <row r="71" spans="1:20" ht="31.5" customHeight="1" x14ac:dyDescent="0.35">
      <c r="O71" s="61"/>
      <c r="P71" s="61"/>
      <c r="Q71" s="61"/>
      <c r="R71" s="61"/>
      <c r="S71" s="61"/>
      <c r="T71" s="61"/>
    </row>
    <row r="72" spans="1:20" ht="31.5" customHeight="1" x14ac:dyDescent="0.35">
      <c r="P72" s="61"/>
      <c r="Q72" s="61"/>
      <c r="R72" s="61"/>
    </row>
    <row r="73" spans="1:20" ht="31.5" customHeight="1" x14ac:dyDescent="0.35">
      <c r="P73" s="61"/>
      <c r="Q73" s="61"/>
      <c r="R73" s="61"/>
    </row>
    <row r="74" spans="1:20" ht="31.5" customHeight="1" x14ac:dyDescent="0.35">
      <c r="P74" s="61"/>
      <c r="Q74" s="61"/>
      <c r="R74" s="61"/>
    </row>
    <row r="75" spans="1:20" ht="31.5" customHeight="1" x14ac:dyDescent="0.35">
      <c r="P75" s="61"/>
      <c r="Q75" s="61"/>
      <c r="R75" s="61"/>
      <c r="S75" s="61"/>
    </row>
    <row r="76" spans="1:20" ht="31.5" customHeight="1" x14ac:dyDescent="0.35">
      <c r="P76" s="61"/>
      <c r="Q76" s="61"/>
      <c r="R76" s="61"/>
    </row>
    <row r="77" spans="1:20" ht="31.5" customHeight="1" x14ac:dyDescent="0.35">
      <c r="P77" s="61"/>
      <c r="Q77" s="61"/>
      <c r="R77" s="61"/>
    </row>
    <row r="78" spans="1:20" ht="31.5" customHeight="1" x14ac:dyDescent="0.35">
      <c r="P78" s="61"/>
      <c r="Q78" s="61"/>
      <c r="R78" s="61"/>
    </row>
    <row r="79" spans="1:20" ht="31.5" customHeight="1" x14ac:dyDescent="0.35">
      <c r="P79" s="61"/>
      <c r="Q79" s="61"/>
      <c r="R79" s="61"/>
    </row>
    <row r="80" spans="1:20" ht="31.5" customHeight="1" x14ac:dyDescent="0.35">
      <c r="P80" s="61"/>
      <c r="Q80" s="61"/>
      <c r="R80" s="61"/>
    </row>
    <row r="81" spans="16:18" ht="31.5" customHeight="1" x14ac:dyDescent="0.35">
      <c r="P81" s="61"/>
      <c r="Q81" s="61"/>
      <c r="R81" s="61"/>
    </row>
    <row r="82" spans="16:18" ht="31.5" customHeight="1" x14ac:dyDescent="0.35">
      <c r="P82" s="61"/>
      <c r="Q82" s="61"/>
      <c r="R82" s="61"/>
    </row>
    <row r="83" spans="16:18" ht="31.5" customHeight="1" x14ac:dyDescent="0.35">
      <c r="P83" s="61"/>
      <c r="Q83" s="61"/>
      <c r="R83" s="61"/>
    </row>
    <row r="84" spans="16:18" ht="31.5" customHeight="1" x14ac:dyDescent="0.35">
      <c r="P84" s="61"/>
      <c r="Q84" s="61"/>
      <c r="R84" s="61"/>
    </row>
    <row r="85" spans="16:18" ht="31.5" customHeight="1" x14ac:dyDescent="0.35">
      <c r="P85" s="61"/>
      <c r="Q85" s="61"/>
      <c r="R85" s="61"/>
    </row>
    <row r="86" spans="16:18" ht="31.5" customHeight="1" x14ac:dyDescent="0.35">
      <c r="P86" s="61"/>
      <c r="Q86" s="61"/>
      <c r="R86" s="61"/>
    </row>
    <row r="87" spans="16:18" ht="31.5" customHeight="1" x14ac:dyDescent="0.35">
      <c r="P87" s="61"/>
      <c r="Q87" s="61"/>
      <c r="R87" s="61"/>
    </row>
    <row r="88" spans="16:18" ht="31.5" customHeight="1" x14ac:dyDescent="0.35">
      <c r="P88" s="61"/>
      <c r="Q88" s="61"/>
      <c r="R88" s="61"/>
    </row>
  </sheetData>
  <mergeCells count="1">
    <mergeCell ref="A2:T2"/>
  </mergeCells>
  <printOptions verticalCentered="1"/>
  <pageMargins left="0.70866141732283472" right="0.70866141732283472" top="0.35433070866141736" bottom="0.35433070866141736" header="0.31496062992125984" footer="0.31496062992125984"/>
  <pageSetup paperSize="9" scale="35" orientation="landscape" r:id="rId1"/>
  <headerFooter>
    <oddFooter>&amp;R&amp;D Elżbieta Szeligowska</oddFooter>
  </headerFooter>
  <rowBreaks count="1" manualBreakCount="1">
    <brk id="3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0"/>
  <sheetViews>
    <sheetView showGridLines="0" zoomScale="55" zoomScaleNormal="55" workbookViewId="0">
      <pane xSplit="2" ySplit="6" topLeftCell="C7" activePane="bottomRight" state="frozen"/>
      <selection activeCell="B51" sqref="B51"/>
      <selection pane="topRight" activeCell="B51" sqref="B51"/>
      <selection pane="bottomLeft" activeCell="B51" sqref="B51"/>
      <selection pane="bottomRight" activeCell="B51" sqref="B51"/>
    </sheetView>
  </sheetViews>
  <sheetFormatPr defaultRowHeight="12.75" x14ac:dyDescent="0.2"/>
  <cols>
    <col min="1" max="1" width="11.7109375" customWidth="1"/>
    <col min="2" max="2" width="116.85546875" customWidth="1"/>
    <col min="3" max="3" width="24" customWidth="1"/>
    <col min="4" max="4" width="17" customWidth="1"/>
    <col min="5" max="5" width="18.7109375" style="67" customWidth="1"/>
    <col min="6" max="21" width="17" customWidth="1"/>
  </cols>
  <sheetData>
    <row r="1" spans="1:21" ht="23.25" x14ac:dyDescent="0.2">
      <c r="A1" s="48"/>
      <c r="B1" s="48"/>
      <c r="C1" s="48"/>
      <c r="D1" s="48"/>
      <c r="E1" s="62"/>
      <c r="F1" s="48"/>
      <c r="G1" s="48"/>
      <c r="H1" s="48"/>
      <c r="I1" s="48"/>
      <c r="J1" s="48"/>
      <c r="K1" s="48"/>
      <c r="L1" s="48"/>
      <c r="M1" s="24"/>
      <c r="N1" s="24"/>
      <c r="O1" s="24"/>
      <c r="P1" s="24"/>
      <c r="Q1" s="24"/>
      <c r="R1" s="24"/>
      <c r="S1" s="24" t="s">
        <v>174</v>
      </c>
      <c r="T1" s="24"/>
      <c r="U1" s="24"/>
    </row>
    <row r="2" spans="1:21" ht="39.75" customHeight="1" x14ac:dyDescent="0.2">
      <c r="A2" s="70" t="s">
        <v>231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1" ht="24.75" x14ac:dyDescent="0.2">
      <c r="A3" s="1"/>
      <c r="B3" s="33"/>
      <c r="C3" s="33"/>
      <c r="D3" s="49"/>
      <c r="E3" s="63"/>
      <c r="F3" s="49"/>
      <c r="G3" s="4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50"/>
      <c r="U3" s="50" t="s">
        <v>175</v>
      </c>
    </row>
    <row r="4" spans="1:21" ht="144.75" x14ac:dyDescent="0.2">
      <c r="A4" s="51" t="s">
        <v>118</v>
      </c>
      <c r="B4" s="51" t="s">
        <v>54</v>
      </c>
      <c r="C4" s="69" t="s">
        <v>214</v>
      </c>
      <c r="D4" s="52" t="s">
        <v>176</v>
      </c>
      <c r="E4" s="64" t="s">
        <v>177</v>
      </c>
      <c r="F4" s="52" t="s">
        <v>178</v>
      </c>
      <c r="G4" s="52" t="s">
        <v>179</v>
      </c>
      <c r="H4" s="53" t="s">
        <v>180</v>
      </c>
      <c r="I4" s="52" t="s">
        <v>181</v>
      </c>
      <c r="J4" s="52" t="s">
        <v>182</v>
      </c>
      <c r="K4" s="52" t="s">
        <v>183</v>
      </c>
      <c r="L4" s="52" t="s">
        <v>184</v>
      </c>
      <c r="M4" s="52" t="s">
        <v>185</v>
      </c>
      <c r="N4" s="52" t="s">
        <v>186</v>
      </c>
      <c r="O4" s="52" t="s">
        <v>187</v>
      </c>
      <c r="P4" s="52" t="s">
        <v>188</v>
      </c>
      <c r="Q4" s="52" t="s">
        <v>189</v>
      </c>
      <c r="R4" s="52" t="s">
        <v>190</v>
      </c>
      <c r="S4" s="52" t="s">
        <v>191</v>
      </c>
      <c r="T4" s="52" t="s">
        <v>192</v>
      </c>
      <c r="U4" s="52" t="s">
        <v>193</v>
      </c>
    </row>
    <row r="5" spans="1:21" x14ac:dyDescent="0.2">
      <c r="A5" s="54" t="s">
        <v>194</v>
      </c>
      <c r="B5" s="54" t="s">
        <v>195</v>
      </c>
      <c r="C5" s="54"/>
      <c r="D5" s="54" t="s">
        <v>196</v>
      </c>
      <c r="E5" s="65" t="s">
        <v>197</v>
      </c>
      <c r="F5" s="54" t="s">
        <v>198</v>
      </c>
      <c r="G5" s="54" t="s">
        <v>199</v>
      </c>
      <c r="H5" s="54" t="s">
        <v>200</v>
      </c>
      <c r="I5" s="54" t="s">
        <v>201</v>
      </c>
      <c r="J5" s="54" t="s">
        <v>202</v>
      </c>
      <c r="K5" s="54" t="s">
        <v>203</v>
      </c>
      <c r="L5" s="54" t="s">
        <v>204</v>
      </c>
      <c r="M5" s="54" t="s">
        <v>205</v>
      </c>
      <c r="N5" s="54" t="s">
        <v>206</v>
      </c>
      <c r="O5" s="54" t="s">
        <v>207</v>
      </c>
      <c r="P5" s="54" t="s">
        <v>208</v>
      </c>
      <c r="Q5" s="54" t="s">
        <v>209</v>
      </c>
      <c r="R5" s="54" t="s">
        <v>210</v>
      </c>
      <c r="S5" s="54" t="s">
        <v>211</v>
      </c>
      <c r="T5" s="54" t="s">
        <v>212</v>
      </c>
      <c r="U5" s="54" t="s">
        <v>213</v>
      </c>
    </row>
    <row r="6" spans="1:21" ht="22.5" x14ac:dyDescent="0.2">
      <c r="A6" s="92" t="s">
        <v>0</v>
      </c>
      <c r="B6" s="19" t="s">
        <v>232</v>
      </c>
      <c r="C6" s="55">
        <f>C7+C8+C9+C14+C15+C16+C17+C18+C19+C20+C21+C22+C23+C24+C28+C29+C31+C32+C33+C34</f>
        <v>74096252</v>
      </c>
      <c r="D6" s="55">
        <f>CENTRALA!D6</f>
        <v>595092</v>
      </c>
      <c r="E6" s="55">
        <f>E7+E8+E9+E14+E15+E16+E17+E18+E19+E20+E21+E22+E23+E24+E28+E29+E31+E32</f>
        <v>73501060</v>
      </c>
      <c r="F6" s="55">
        <f>Dolnośląski!D6</f>
        <v>5517245</v>
      </c>
      <c r="G6" s="55">
        <f>KujawskoPomorski!D6</f>
        <v>3950327</v>
      </c>
      <c r="H6" s="55">
        <f>Lubelski!D6</f>
        <v>4137884</v>
      </c>
      <c r="I6" s="55">
        <f>Lubuski!D6</f>
        <v>1883118</v>
      </c>
      <c r="J6" s="55">
        <f>Łódzki!D6</f>
        <v>5013253</v>
      </c>
      <c r="K6" s="55">
        <f>Małopolski!D6</f>
        <v>6360931</v>
      </c>
      <c r="L6" s="55">
        <f>Mazowiecki!D6</f>
        <v>10710138</v>
      </c>
      <c r="M6" s="55">
        <f>Opolski!D6</f>
        <v>1787995</v>
      </c>
      <c r="N6" s="55">
        <f>Podkarpacki!D6</f>
        <v>3900324</v>
      </c>
      <c r="O6" s="55">
        <f>Podlaski!D6</f>
        <v>2217710</v>
      </c>
      <c r="P6" s="55">
        <f>Pomorski!D6</f>
        <v>4270357</v>
      </c>
      <c r="Q6" s="55">
        <f>Śląski!D6</f>
        <v>8976611</v>
      </c>
      <c r="R6" s="55">
        <f>Świętokrzyski!D6</f>
        <v>2454804</v>
      </c>
      <c r="S6" s="55">
        <f>WarmińskoMazurski!D6</f>
        <v>2570595</v>
      </c>
      <c r="T6" s="55">
        <f>Wielkopolski!D6</f>
        <v>6600078</v>
      </c>
      <c r="U6" s="55">
        <f>Zachodniopomorski!D6</f>
        <v>3199198</v>
      </c>
    </row>
    <row r="7" spans="1:21" ht="27.75" customHeight="1" x14ac:dyDescent="0.2">
      <c r="A7" s="93" t="s">
        <v>1</v>
      </c>
      <c r="B7" s="15" t="s">
        <v>119</v>
      </c>
      <c r="C7" s="56">
        <f t="shared" ref="C7:C65" si="0">D7+E7</f>
        <v>10053480</v>
      </c>
      <c r="D7" s="57">
        <f>CENTRALA!D7</f>
        <v>0</v>
      </c>
      <c r="E7" s="56">
        <f>SUM(F7:U7)</f>
        <v>10053480</v>
      </c>
      <c r="F7" s="57">
        <f>Dolnośląski!D7</f>
        <v>746998</v>
      </c>
      <c r="G7" s="57">
        <f>KujawskoPomorski!D7</f>
        <v>549824</v>
      </c>
      <c r="H7" s="57">
        <f>Lubelski!D7</f>
        <v>558216</v>
      </c>
      <c r="I7" s="57">
        <f>Lubuski!D7</f>
        <v>260273</v>
      </c>
      <c r="J7" s="57">
        <f>Łódzki!D7</f>
        <v>668000</v>
      </c>
      <c r="K7" s="57">
        <f>Małopolski!D7</f>
        <v>883000</v>
      </c>
      <c r="L7" s="57">
        <f>Mazowiecki!D7</f>
        <v>1459554</v>
      </c>
      <c r="M7" s="57">
        <f>Opolski!D7</f>
        <v>239379</v>
      </c>
      <c r="N7" s="57">
        <f>Podkarpacki!D7</f>
        <v>538961</v>
      </c>
      <c r="O7" s="57">
        <f>Podlaski!D7</f>
        <v>301713</v>
      </c>
      <c r="P7" s="57">
        <f>Pomorski!D7</f>
        <v>603768</v>
      </c>
      <c r="Q7" s="57">
        <f>Śląski!D7</f>
        <v>1195269</v>
      </c>
      <c r="R7" s="57">
        <f>Świętokrzyski!D7</f>
        <v>315973</v>
      </c>
      <c r="S7" s="57">
        <f>WarmińskoMazurski!D7</f>
        <v>362423</v>
      </c>
      <c r="T7" s="57">
        <f>Wielkopolski!D7</f>
        <v>930844</v>
      </c>
      <c r="U7" s="57">
        <f>Zachodniopomorski!D7</f>
        <v>439285</v>
      </c>
    </row>
    <row r="8" spans="1:21" ht="27.75" customHeight="1" x14ac:dyDescent="0.2">
      <c r="A8" s="93" t="s">
        <v>2</v>
      </c>
      <c r="B8" s="15" t="s">
        <v>120</v>
      </c>
      <c r="C8" s="56">
        <f t="shared" si="0"/>
        <v>5870636</v>
      </c>
      <c r="D8" s="57">
        <f>CENTRALA!D8</f>
        <v>0</v>
      </c>
      <c r="E8" s="56">
        <f t="shared" ref="E8:E65" si="1">SUM(F8:U8)</f>
        <v>5870636</v>
      </c>
      <c r="F8" s="57">
        <f>Dolnośląski!D8</f>
        <v>433359</v>
      </c>
      <c r="G8" s="57">
        <f>KujawskoPomorski!D8</f>
        <v>307593</v>
      </c>
      <c r="H8" s="57">
        <f>Lubelski!D8</f>
        <v>317228</v>
      </c>
      <c r="I8" s="57">
        <f>Lubuski!D8</f>
        <v>147051</v>
      </c>
      <c r="J8" s="57">
        <f>Łódzki!D8</f>
        <v>380889</v>
      </c>
      <c r="K8" s="57">
        <f>Małopolski!D8</f>
        <v>517413</v>
      </c>
      <c r="L8" s="57">
        <f>Mazowiecki!D8</f>
        <v>829058</v>
      </c>
      <c r="M8" s="57">
        <f>Opolski!D8</f>
        <v>135650</v>
      </c>
      <c r="N8" s="57">
        <f>Podkarpacki!D8</f>
        <v>300951</v>
      </c>
      <c r="O8" s="57">
        <f>Podlaski!D8</f>
        <v>197783</v>
      </c>
      <c r="P8" s="57">
        <f>Pomorski!D8</f>
        <v>347914</v>
      </c>
      <c r="Q8" s="57">
        <f>Śląski!D8</f>
        <v>763998</v>
      </c>
      <c r="R8" s="57">
        <f>Świętokrzyski!D8</f>
        <v>173659</v>
      </c>
      <c r="S8" s="57">
        <f>WarmińskoMazurski!D8</f>
        <v>213126</v>
      </c>
      <c r="T8" s="57">
        <f>Wielkopolski!D8</f>
        <v>530025</v>
      </c>
      <c r="U8" s="57">
        <f>Zachodniopomorski!D8</f>
        <v>274939</v>
      </c>
    </row>
    <row r="9" spans="1:21" ht="27.75" customHeight="1" x14ac:dyDescent="0.2">
      <c r="A9" s="93" t="s">
        <v>3</v>
      </c>
      <c r="B9" s="15" t="s">
        <v>117</v>
      </c>
      <c r="C9" s="56">
        <f t="shared" si="0"/>
        <v>35913462</v>
      </c>
      <c r="D9" s="57">
        <f>CENTRALA!D9</f>
        <v>0</v>
      </c>
      <c r="E9" s="56">
        <f t="shared" si="1"/>
        <v>35913462</v>
      </c>
      <c r="F9" s="57">
        <f>Dolnośląski!D9</f>
        <v>2703190</v>
      </c>
      <c r="G9" s="57">
        <f>KujawskoPomorski!D9</f>
        <v>1938099</v>
      </c>
      <c r="H9" s="57">
        <f>Lubelski!D9</f>
        <v>2029446</v>
      </c>
      <c r="I9" s="57">
        <f>Lubuski!D9</f>
        <v>916602</v>
      </c>
      <c r="J9" s="57">
        <f>Łódzki!D9</f>
        <v>2499969</v>
      </c>
      <c r="K9" s="57">
        <f>Małopolski!D9</f>
        <v>3062766</v>
      </c>
      <c r="L9" s="57">
        <f>Mazowiecki!D9</f>
        <v>5394842</v>
      </c>
      <c r="M9" s="57">
        <f>Opolski!D9</f>
        <v>858664</v>
      </c>
      <c r="N9" s="57">
        <f>Podkarpacki!D9</f>
        <v>1855000</v>
      </c>
      <c r="O9" s="57">
        <f>Podlaski!D9</f>
        <v>1093455</v>
      </c>
      <c r="P9" s="57">
        <f>Pomorski!D9</f>
        <v>2059723</v>
      </c>
      <c r="Q9" s="57">
        <f>Śląski!D9</f>
        <v>4262557</v>
      </c>
      <c r="R9" s="57">
        <f>Świętokrzyski!D9</f>
        <v>1209296</v>
      </c>
      <c r="S9" s="57">
        <f>WarmińskoMazurski!D9</f>
        <v>1236058</v>
      </c>
      <c r="T9" s="57">
        <f>Wielkopolski!D9</f>
        <v>3229332</v>
      </c>
      <c r="U9" s="57">
        <f>Zachodniopomorski!D9</f>
        <v>1564463</v>
      </c>
    </row>
    <row r="10" spans="1:21" ht="24.75" customHeight="1" x14ac:dyDescent="0.2">
      <c r="A10" s="94" t="s">
        <v>56</v>
      </c>
      <c r="B10" s="89" t="s">
        <v>142</v>
      </c>
      <c r="C10" s="56">
        <f t="shared" si="0"/>
        <v>3338968</v>
      </c>
      <c r="D10" s="57">
        <f>CENTRALA!D10</f>
        <v>0</v>
      </c>
      <c r="E10" s="56">
        <f t="shared" si="1"/>
        <v>3338968</v>
      </c>
      <c r="F10" s="57">
        <f>Dolnośląski!D10</f>
        <v>262793</v>
      </c>
      <c r="G10" s="57">
        <f>KujawskoPomorski!D10</f>
        <v>165875</v>
      </c>
      <c r="H10" s="57">
        <f>Lubelski!D10</f>
        <v>167452</v>
      </c>
      <c r="I10" s="57">
        <f>Lubuski!D10</f>
        <v>86838</v>
      </c>
      <c r="J10" s="57">
        <f>Łódzki!D10</f>
        <v>236206</v>
      </c>
      <c r="K10" s="57">
        <f>Małopolski!D10</f>
        <v>306369</v>
      </c>
      <c r="L10" s="57">
        <f>Mazowiecki!D10</f>
        <v>536572</v>
      </c>
      <c r="M10" s="57">
        <f>Opolski!D10</f>
        <v>66050</v>
      </c>
      <c r="N10" s="57">
        <f>Podkarpacki!D10</f>
        <v>171495</v>
      </c>
      <c r="O10" s="57">
        <f>Podlaski!D10</f>
        <v>91428</v>
      </c>
      <c r="P10" s="57">
        <f>Pomorski!D10</f>
        <v>203592</v>
      </c>
      <c r="Q10" s="57">
        <f>Śląski!D10</f>
        <v>410636</v>
      </c>
      <c r="R10" s="57">
        <f>Świętokrzyski!D10</f>
        <v>108023</v>
      </c>
      <c r="S10" s="57">
        <f>WarmińskoMazurski!D10</f>
        <v>98046</v>
      </c>
      <c r="T10" s="57">
        <f>Wielkopolski!D10</f>
        <v>301590</v>
      </c>
      <c r="U10" s="57">
        <f>Zachodniopomorski!D10</f>
        <v>126003</v>
      </c>
    </row>
    <row r="11" spans="1:21" ht="24.75" customHeight="1" x14ac:dyDescent="0.2">
      <c r="A11" s="94" t="s">
        <v>143</v>
      </c>
      <c r="B11" s="89" t="s">
        <v>146</v>
      </c>
      <c r="C11" s="56">
        <f t="shared" si="0"/>
        <v>3034675</v>
      </c>
      <c r="D11" s="57">
        <f>CENTRALA!D11</f>
        <v>0</v>
      </c>
      <c r="E11" s="56">
        <f t="shared" si="1"/>
        <v>3034675</v>
      </c>
      <c r="F11" s="57">
        <f>Dolnośląski!D11</f>
        <v>238273</v>
      </c>
      <c r="G11" s="57">
        <f>KujawskoPomorski!D11</f>
        <v>150556</v>
      </c>
      <c r="H11" s="57">
        <f>Lubelski!D11</f>
        <v>151270</v>
      </c>
      <c r="I11" s="57">
        <f>Lubuski!D11</f>
        <v>80231</v>
      </c>
      <c r="J11" s="57">
        <f>Łódzki!D11</f>
        <v>212474</v>
      </c>
      <c r="K11" s="57">
        <f>Małopolski!D11</f>
        <v>276964</v>
      </c>
      <c r="L11" s="57">
        <f>Mazowiecki!D11</f>
        <v>488395</v>
      </c>
      <c r="M11" s="57">
        <f>Opolski!D11</f>
        <v>60476</v>
      </c>
      <c r="N11" s="57">
        <f>Podkarpacki!D11</f>
        <v>159717</v>
      </c>
      <c r="O11" s="57">
        <f>Podlaski!D11</f>
        <v>82465</v>
      </c>
      <c r="P11" s="57">
        <f>Pomorski!D11</f>
        <v>187671</v>
      </c>
      <c r="Q11" s="57">
        <f>Śląski!D11</f>
        <v>371137</v>
      </c>
      <c r="R11" s="57">
        <f>Świętokrzyski!D11</f>
        <v>93736</v>
      </c>
      <c r="S11" s="57">
        <f>WarmińskoMazurski!D11</f>
        <v>88075</v>
      </c>
      <c r="T11" s="57">
        <f>Wielkopolski!D11</f>
        <v>278652</v>
      </c>
      <c r="U11" s="57">
        <f>Zachodniopomorski!D11</f>
        <v>114583</v>
      </c>
    </row>
    <row r="12" spans="1:21" ht="24.75" customHeight="1" x14ac:dyDescent="0.2">
      <c r="A12" s="94" t="s">
        <v>144</v>
      </c>
      <c r="B12" s="89" t="s">
        <v>147</v>
      </c>
      <c r="C12" s="56">
        <f t="shared" si="0"/>
        <v>1426271</v>
      </c>
      <c r="D12" s="57">
        <f>CENTRALA!D12</f>
        <v>0</v>
      </c>
      <c r="E12" s="56">
        <f t="shared" si="1"/>
        <v>1426271</v>
      </c>
      <c r="F12" s="57">
        <f>Dolnośląski!D12</f>
        <v>114727</v>
      </c>
      <c r="G12" s="57">
        <f>KujawskoPomorski!D12</f>
        <v>69300</v>
      </c>
      <c r="H12" s="57">
        <f>Lubelski!D12</f>
        <v>84461</v>
      </c>
      <c r="I12" s="57">
        <f>Lubuski!D12</f>
        <v>39566</v>
      </c>
      <c r="J12" s="57">
        <f>Łódzki!D12</f>
        <v>89732</v>
      </c>
      <c r="K12" s="57">
        <f>Małopolski!D12</f>
        <v>107312</v>
      </c>
      <c r="L12" s="57">
        <f>Mazowiecki!D12</f>
        <v>232974</v>
      </c>
      <c r="M12" s="57">
        <f>Opolski!D12</f>
        <v>35170</v>
      </c>
      <c r="N12" s="57">
        <f>Podkarpacki!D12</f>
        <v>70929</v>
      </c>
      <c r="O12" s="57">
        <f>Podlaski!D12</f>
        <v>45056</v>
      </c>
      <c r="P12" s="57">
        <f>Pomorski!D12</f>
        <v>84076</v>
      </c>
      <c r="Q12" s="57">
        <f>Śląski!D12</f>
        <v>169375</v>
      </c>
      <c r="R12" s="57">
        <f>Świętokrzyski!D12</f>
        <v>52448</v>
      </c>
      <c r="S12" s="57">
        <f>WarmińskoMazurski!D12</f>
        <v>44008</v>
      </c>
      <c r="T12" s="57">
        <f>Wielkopolski!D12</f>
        <v>126768</v>
      </c>
      <c r="U12" s="57">
        <f>Zachodniopomorski!D12</f>
        <v>60369</v>
      </c>
    </row>
    <row r="13" spans="1:21" ht="24.75" customHeight="1" x14ac:dyDescent="0.2">
      <c r="A13" s="94" t="s">
        <v>145</v>
      </c>
      <c r="B13" s="89" t="s">
        <v>148</v>
      </c>
      <c r="C13" s="56">
        <f t="shared" si="0"/>
        <v>643895</v>
      </c>
      <c r="D13" s="57">
        <f>CENTRALA!D13</f>
        <v>0</v>
      </c>
      <c r="E13" s="56">
        <f t="shared" si="1"/>
        <v>643895</v>
      </c>
      <c r="F13" s="57">
        <f>Dolnośląski!D13</f>
        <v>49131</v>
      </c>
      <c r="G13" s="57">
        <f>KujawskoPomorski!D13</f>
        <v>33838</v>
      </c>
      <c r="H13" s="57">
        <f>Lubelski!D13</f>
        <v>33223</v>
      </c>
      <c r="I13" s="57">
        <f>Lubuski!D13</f>
        <v>15501</v>
      </c>
      <c r="J13" s="57">
        <f>Łódzki!D13</f>
        <v>35865</v>
      </c>
      <c r="K13" s="57">
        <f>Małopolski!D13</f>
        <v>48942</v>
      </c>
      <c r="L13" s="57">
        <f>Mazowiecki!D13</f>
        <v>106702</v>
      </c>
      <c r="M13" s="57">
        <f>Opolski!D13</f>
        <v>15917</v>
      </c>
      <c r="N13" s="57">
        <f>Podkarpacki!D13</f>
        <v>32596</v>
      </c>
      <c r="O13" s="57">
        <f>Podlaski!D13</f>
        <v>23019</v>
      </c>
      <c r="P13" s="57">
        <f>Pomorski!D13</f>
        <v>46386</v>
      </c>
      <c r="Q13" s="57">
        <f>Śląski!D13</f>
        <v>74643</v>
      </c>
      <c r="R13" s="57">
        <f>Świętokrzyski!D13</f>
        <v>23921</v>
      </c>
      <c r="S13" s="57">
        <f>WarmińskoMazurski!D13</f>
        <v>20877</v>
      </c>
      <c r="T13" s="57">
        <f>Wielkopolski!D13</f>
        <v>56344</v>
      </c>
      <c r="U13" s="57">
        <f>Zachodniopomorski!D13</f>
        <v>26990</v>
      </c>
    </row>
    <row r="14" spans="1:21" ht="27.75" customHeight="1" x14ac:dyDescent="0.2">
      <c r="A14" s="93" t="s">
        <v>4</v>
      </c>
      <c r="B14" s="15" t="s">
        <v>125</v>
      </c>
      <c r="C14" s="56">
        <f t="shared" si="0"/>
        <v>2687924</v>
      </c>
      <c r="D14" s="57">
        <f>CENTRALA!D14</f>
        <v>0</v>
      </c>
      <c r="E14" s="56">
        <f t="shared" si="1"/>
        <v>2687924</v>
      </c>
      <c r="F14" s="57">
        <f>Dolnośląski!D14</f>
        <v>209651</v>
      </c>
      <c r="G14" s="57">
        <f>KujawskoPomorski!D14</f>
        <v>139197</v>
      </c>
      <c r="H14" s="57">
        <f>Lubelski!D14</f>
        <v>162926</v>
      </c>
      <c r="I14" s="57">
        <f>Lubuski!D14</f>
        <v>105600</v>
      </c>
      <c r="J14" s="57">
        <f>Łódzki!D14</f>
        <v>186357</v>
      </c>
      <c r="K14" s="57">
        <f>Małopolski!D14</f>
        <v>199871</v>
      </c>
      <c r="L14" s="57">
        <f>Mazowiecki!D14</f>
        <v>385950</v>
      </c>
      <c r="M14" s="57">
        <f>Opolski!D14</f>
        <v>66487</v>
      </c>
      <c r="N14" s="57">
        <f>Podkarpacki!D14</f>
        <v>128032</v>
      </c>
      <c r="O14" s="57">
        <f>Podlaski!D14</f>
        <v>88210</v>
      </c>
      <c r="P14" s="57">
        <f>Pomorski!D14</f>
        <v>165587</v>
      </c>
      <c r="Q14" s="57">
        <f>Śląski!D14</f>
        <v>334493</v>
      </c>
      <c r="R14" s="57">
        <f>Świętokrzyski!D14</f>
        <v>84246</v>
      </c>
      <c r="S14" s="57">
        <f>WarmińskoMazurski!D14</f>
        <v>98327</v>
      </c>
      <c r="T14" s="57">
        <f>Wielkopolski!D14</f>
        <v>230238</v>
      </c>
      <c r="U14" s="57">
        <f>Zachodniopomorski!D14</f>
        <v>102752</v>
      </c>
    </row>
    <row r="15" spans="1:21" ht="27.75" customHeight="1" x14ac:dyDescent="0.2">
      <c r="A15" s="93" t="s">
        <v>5</v>
      </c>
      <c r="B15" s="15" t="s">
        <v>121</v>
      </c>
      <c r="C15" s="56">
        <f t="shared" si="0"/>
        <v>2291343</v>
      </c>
      <c r="D15" s="57">
        <f>CENTRALA!D15</f>
        <v>0</v>
      </c>
      <c r="E15" s="56">
        <f t="shared" si="1"/>
        <v>2291343</v>
      </c>
      <c r="F15" s="57">
        <f>Dolnośląski!D15</f>
        <v>178096</v>
      </c>
      <c r="G15" s="57">
        <f>KujawskoPomorski!D15</f>
        <v>106222</v>
      </c>
      <c r="H15" s="57">
        <f>Lubelski!D15</f>
        <v>125328</v>
      </c>
      <c r="I15" s="57">
        <f>Lubuski!D15</f>
        <v>54567</v>
      </c>
      <c r="J15" s="57">
        <f>Łódzki!D15</f>
        <v>132763</v>
      </c>
      <c r="K15" s="57">
        <f>Małopolski!D15</f>
        <v>203462</v>
      </c>
      <c r="L15" s="57">
        <f>Mazowiecki!D15</f>
        <v>423922</v>
      </c>
      <c r="M15" s="57">
        <f>Opolski!D15</f>
        <v>55249</v>
      </c>
      <c r="N15" s="57">
        <f>Podkarpacki!D15</f>
        <v>150131</v>
      </c>
      <c r="O15" s="57">
        <f>Podlaski!D15</f>
        <v>63349</v>
      </c>
      <c r="P15" s="57">
        <f>Pomorski!D15</f>
        <v>118499</v>
      </c>
      <c r="Q15" s="57">
        <f>Śląski!D15</f>
        <v>267782</v>
      </c>
      <c r="R15" s="57">
        <f>Świętokrzyski!D15</f>
        <v>78656</v>
      </c>
      <c r="S15" s="57">
        <f>WarmińskoMazurski!D15</f>
        <v>77045</v>
      </c>
      <c r="T15" s="57">
        <f>Wielkopolski!D15</f>
        <v>178293</v>
      </c>
      <c r="U15" s="57">
        <f>Zachodniopomorski!D15</f>
        <v>77979</v>
      </c>
    </row>
    <row r="16" spans="1:21" ht="27.75" customHeight="1" x14ac:dyDescent="0.2">
      <c r="A16" s="93" t="s">
        <v>6</v>
      </c>
      <c r="B16" s="15" t="s">
        <v>127</v>
      </c>
      <c r="C16" s="56">
        <f t="shared" si="0"/>
        <v>1420685</v>
      </c>
      <c r="D16" s="57">
        <f>CENTRALA!D16</f>
        <v>0</v>
      </c>
      <c r="E16" s="56">
        <f t="shared" si="1"/>
        <v>1420685</v>
      </c>
      <c r="F16" s="57">
        <f>Dolnośląski!D16</f>
        <v>120014</v>
      </c>
      <c r="G16" s="57">
        <f>KujawskoPomorski!D16</f>
        <v>62583</v>
      </c>
      <c r="H16" s="57">
        <f>Lubelski!D16</f>
        <v>75482</v>
      </c>
      <c r="I16" s="57">
        <f>Lubuski!D16</f>
        <v>27814</v>
      </c>
      <c r="J16" s="57">
        <f>Łódzki!D16</f>
        <v>66229</v>
      </c>
      <c r="K16" s="57">
        <f>Małopolski!D16</f>
        <v>152959</v>
      </c>
      <c r="L16" s="57">
        <f>Mazowiecki!D16</f>
        <v>178277</v>
      </c>
      <c r="M16" s="57">
        <f>Opolski!D16</f>
        <v>55170</v>
      </c>
      <c r="N16" s="57">
        <f>Podkarpacki!D16</f>
        <v>114313</v>
      </c>
      <c r="O16" s="57">
        <f>Podlaski!D16</f>
        <v>35554</v>
      </c>
      <c r="P16" s="57">
        <f>Pomorski!D16</f>
        <v>53431</v>
      </c>
      <c r="Q16" s="57">
        <f>Śląski!D16</f>
        <v>247587</v>
      </c>
      <c r="R16" s="57">
        <f>Świętokrzyski!D16</f>
        <v>55311</v>
      </c>
      <c r="S16" s="57">
        <f>WarmińskoMazurski!D16</f>
        <v>43207</v>
      </c>
      <c r="T16" s="57">
        <f>Wielkopolski!D16</f>
        <v>85978</v>
      </c>
      <c r="U16" s="57">
        <f>Zachodniopomorski!D16</f>
        <v>46776</v>
      </c>
    </row>
    <row r="17" spans="1:21" ht="27.75" customHeight="1" x14ac:dyDescent="0.2">
      <c r="A17" s="93" t="s">
        <v>7</v>
      </c>
      <c r="B17" s="15" t="s">
        <v>126</v>
      </c>
      <c r="C17" s="56">
        <f t="shared" si="0"/>
        <v>662536</v>
      </c>
      <c r="D17" s="57">
        <f>CENTRALA!D17</f>
        <v>0</v>
      </c>
      <c r="E17" s="56">
        <f t="shared" si="1"/>
        <v>662536</v>
      </c>
      <c r="F17" s="57">
        <f>Dolnośląski!D17</f>
        <v>62744</v>
      </c>
      <c r="G17" s="57">
        <f>KujawskoPomorski!D17</f>
        <v>42517</v>
      </c>
      <c r="H17" s="57">
        <f>Lubelski!D17</f>
        <v>28597</v>
      </c>
      <c r="I17" s="57">
        <f>Lubuski!D17</f>
        <v>17918</v>
      </c>
      <c r="J17" s="57">
        <f>Łódzki!D17</f>
        <v>34864</v>
      </c>
      <c r="K17" s="57">
        <f>Małopolski!D17</f>
        <v>71484</v>
      </c>
      <c r="L17" s="57">
        <f>Mazowiecki!D17</f>
        <v>70718</v>
      </c>
      <c r="M17" s="57">
        <f>Opolski!D17</f>
        <v>17832</v>
      </c>
      <c r="N17" s="57">
        <f>Podkarpacki!D17</f>
        <v>44884</v>
      </c>
      <c r="O17" s="57">
        <f>Podlaski!D17</f>
        <v>21423</v>
      </c>
      <c r="P17" s="57">
        <f>Pomorski!D17</f>
        <v>40910</v>
      </c>
      <c r="Q17" s="57">
        <f>Śląski!D17</f>
        <v>80905</v>
      </c>
      <c r="R17" s="57">
        <f>Świętokrzyski!D17</f>
        <v>26578</v>
      </c>
      <c r="S17" s="57">
        <f>WarmińskoMazurski!D17</f>
        <v>21878</v>
      </c>
      <c r="T17" s="57">
        <f>Wielkopolski!D17</f>
        <v>62023</v>
      </c>
      <c r="U17" s="57">
        <f>Zachodniopomorski!D17</f>
        <v>17261</v>
      </c>
    </row>
    <row r="18" spans="1:21" ht="27.75" customHeight="1" x14ac:dyDescent="0.2">
      <c r="A18" s="93" t="s">
        <v>8</v>
      </c>
      <c r="B18" s="15" t="s">
        <v>122</v>
      </c>
      <c r="C18" s="56">
        <f t="shared" si="0"/>
        <v>1858886</v>
      </c>
      <c r="D18" s="57">
        <f>CENTRALA!D18</f>
        <v>0</v>
      </c>
      <c r="E18" s="56">
        <f t="shared" si="1"/>
        <v>1858886</v>
      </c>
      <c r="F18" s="57">
        <f>Dolnośląski!D18</f>
        <v>122937</v>
      </c>
      <c r="G18" s="57">
        <f>KujawskoPomorski!D18</f>
        <v>99203</v>
      </c>
      <c r="H18" s="57">
        <f>Lubelski!D18</f>
        <v>127230</v>
      </c>
      <c r="I18" s="57">
        <f>Lubuski!D18</f>
        <v>42702</v>
      </c>
      <c r="J18" s="57">
        <f>Łódzki!D18</f>
        <v>125141</v>
      </c>
      <c r="K18" s="57">
        <f>Małopolski!D18</f>
        <v>195517</v>
      </c>
      <c r="L18" s="57">
        <f>Mazowiecki!D18</f>
        <v>215457</v>
      </c>
      <c r="M18" s="57">
        <f>Opolski!D18</f>
        <v>45396</v>
      </c>
      <c r="N18" s="57">
        <f>Podkarpacki!D18</f>
        <v>113344</v>
      </c>
      <c r="O18" s="57">
        <f>Podlaski!D18</f>
        <v>65791</v>
      </c>
      <c r="P18" s="57">
        <f>Pomorski!D18</f>
        <v>109535</v>
      </c>
      <c r="Q18" s="57">
        <f>Śląski!D18</f>
        <v>206654</v>
      </c>
      <c r="R18" s="57">
        <f>Świętokrzyski!D18</f>
        <v>67365</v>
      </c>
      <c r="S18" s="57">
        <f>WarmińskoMazurski!D18</f>
        <v>84599</v>
      </c>
      <c r="T18" s="57">
        <f>Wielkopolski!D18</f>
        <v>150436</v>
      </c>
      <c r="U18" s="57">
        <f>Zachodniopomorski!D18</f>
        <v>87579</v>
      </c>
    </row>
    <row r="19" spans="1:21" ht="27.75" customHeight="1" x14ac:dyDescent="0.2">
      <c r="A19" s="93" t="s">
        <v>9</v>
      </c>
      <c r="B19" s="15" t="s">
        <v>123</v>
      </c>
      <c r="C19" s="56">
        <f t="shared" si="0"/>
        <v>659091</v>
      </c>
      <c r="D19" s="57">
        <f>CENTRALA!D19</f>
        <v>0</v>
      </c>
      <c r="E19" s="56">
        <f t="shared" si="1"/>
        <v>659091</v>
      </c>
      <c r="F19" s="57">
        <f>Dolnośląski!D19</f>
        <v>64571</v>
      </c>
      <c r="G19" s="57">
        <f>KujawskoPomorski!D19</f>
        <v>35327</v>
      </c>
      <c r="H19" s="57">
        <f>Lubelski!D19</f>
        <v>41712</v>
      </c>
      <c r="I19" s="57">
        <f>Lubuski!D19</f>
        <v>14300</v>
      </c>
      <c r="J19" s="57">
        <f>Łódzki!D19</f>
        <v>43500</v>
      </c>
      <c r="K19" s="57">
        <f>Małopolski!D19</f>
        <v>52380</v>
      </c>
      <c r="L19" s="57">
        <f>Mazowiecki!D19</f>
        <v>102936</v>
      </c>
      <c r="M19" s="57">
        <f>Opolski!D19</f>
        <v>12700</v>
      </c>
      <c r="N19" s="57">
        <f>Podkarpacki!D19</f>
        <v>34670</v>
      </c>
      <c r="O19" s="57">
        <f>Podlaski!D19</f>
        <v>20500</v>
      </c>
      <c r="P19" s="57">
        <f>Pomorski!D19</f>
        <v>27649</v>
      </c>
      <c r="Q19" s="57">
        <f>Śląski!D19</f>
        <v>72496</v>
      </c>
      <c r="R19" s="57">
        <f>Świętokrzyski!D19</f>
        <v>26084</v>
      </c>
      <c r="S19" s="57">
        <f>WarmińskoMazurski!D19</f>
        <v>21202</v>
      </c>
      <c r="T19" s="57">
        <f>Wielkopolski!D19</f>
        <v>61500</v>
      </c>
      <c r="U19" s="57">
        <f>Zachodniopomorski!D19</f>
        <v>27564</v>
      </c>
    </row>
    <row r="20" spans="1:21" ht="27.75" customHeight="1" x14ac:dyDescent="0.2">
      <c r="A20" s="93" t="s">
        <v>10</v>
      </c>
      <c r="B20" s="15" t="s">
        <v>128</v>
      </c>
      <c r="C20" s="56">
        <f t="shared" si="0"/>
        <v>48765</v>
      </c>
      <c r="D20" s="57">
        <f>CENTRALA!D20</f>
        <v>0</v>
      </c>
      <c r="E20" s="56">
        <f t="shared" si="1"/>
        <v>48765</v>
      </c>
      <c r="F20" s="57">
        <f>Dolnośląski!D20</f>
        <v>4782</v>
      </c>
      <c r="G20" s="57">
        <f>KujawskoPomorski!D20</f>
        <v>2981</v>
      </c>
      <c r="H20" s="57">
        <f>Lubelski!D20</f>
        <v>3387</v>
      </c>
      <c r="I20" s="57">
        <f>Lubuski!D20</f>
        <v>1655</v>
      </c>
      <c r="J20" s="57">
        <f>Łódzki!D20</f>
        <v>3079</v>
      </c>
      <c r="K20" s="57">
        <f>Małopolski!D20</f>
        <v>1750</v>
      </c>
      <c r="L20" s="57">
        <f>Mazowiecki!D20</f>
        <v>8138</v>
      </c>
      <c r="M20" s="57">
        <f>Opolski!D20</f>
        <v>1299</v>
      </c>
      <c r="N20" s="57">
        <f>Podkarpacki!D20</f>
        <v>3286</v>
      </c>
      <c r="O20" s="57">
        <f>Podlaski!D20</f>
        <v>1500</v>
      </c>
      <c r="P20" s="57">
        <f>Pomorski!D20</f>
        <v>1504</v>
      </c>
      <c r="Q20" s="57">
        <f>Śląski!D20</f>
        <v>4794</v>
      </c>
      <c r="R20" s="57">
        <f>Świętokrzyski!D20</f>
        <v>1650</v>
      </c>
      <c r="S20" s="57">
        <f>WarmińskoMazurski!D20</f>
        <v>2961</v>
      </c>
      <c r="T20" s="57">
        <f>Wielkopolski!D20</f>
        <v>3527</v>
      </c>
      <c r="U20" s="57">
        <f>Zachodniopomorski!D20</f>
        <v>2472</v>
      </c>
    </row>
    <row r="21" spans="1:21" ht="47.25" customHeight="1" x14ac:dyDescent="0.2">
      <c r="A21" s="93" t="s">
        <v>11</v>
      </c>
      <c r="B21" s="15" t="s">
        <v>124</v>
      </c>
      <c r="C21" s="56">
        <f t="shared" si="0"/>
        <v>196103</v>
      </c>
      <c r="D21" s="57">
        <f>CENTRALA!D21</f>
        <v>0</v>
      </c>
      <c r="E21" s="56">
        <f t="shared" si="1"/>
        <v>196103</v>
      </c>
      <c r="F21" s="57">
        <f>Dolnośląski!D21</f>
        <v>15204</v>
      </c>
      <c r="G21" s="57">
        <f>KujawskoPomorski!D21</f>
        <v>11430</v>
      </c>
      <c r="H21" s="57">
        <f>Lubelski!D21</f>
        <v>10183</v>
      </c>
      <c r="I21" s="57">
        <f>Lubuski!D21</f>
        <v>5429</v>
      </c>
      <c r="J21" s="57">
        <f>Łódzki!D21</f>
        <v>11501</v>
      </c>
      <c r="K21" s="57">
        <f>Małopolski!D21</f>
        <v>15077</v>
      </c>
      <c r="L21" s="57">
        <f>Mazowiecki!D21</f>
        <v>24388</v>
      </c>
      <c r="M21" s="57">
        <f>Opolski!D21</f>
        <v>5329</v>
      </c>
      <c r="N21" s="57">
        <f>Podkarpacki!D21</f>
        <v>8056</v>
      </c>
      <c r="O21" s="57">
        <f>Podlaski!D21</f>
        <v>5379</v>
      </c>
      <c r="P21" s="57">
        <f>Pomorski!D21</f>
        <v>10359</v>
      </c>
      <c r="Q21" s="57">
        <f>Śląski!D21</f>
        <v>32975</v>
      </c>
      <c r="R21" s="57">
        <f>Świętokrzyski!D21</f>
        <v>6058</v>
      </c>
      <c r="S21" s="57">
        <f>WarmińskoMazurski!D21</f>
        <v>6380</v>
      </c>
      <c r="T21" s="57">
        <f>Wielkopolski!D21</f>
        <v>18418</v>
      </c>
      <c r="U21" s="57">
        <f>Zachodniopomorski!D21</f>
        <v>9937</v>
      </c>
    </row>
    <row r="22" spans="1:21" ht="27.75" customHeight="1" x14ac:dyDescent="0.2">
      <c r="A22" s="93" t="s">
        <v>12</v>
      </c>
      <c r="B22" s="15" t="s">
        <v>165</v>
      </c>
      <c r="C22" s="56">
        <f t="shared" si="0"/>
        <v>2091675</v>
      </c>
      <c r="D22" s="57">
        <f>CENTRALA!D22</f>
        <v>0</v>
      </c>
      <c r="E22" s="56">
        <f t="shared" si="1"/>
        <v>2091675</v>
      </c>
      <c r="F22" s="57">
        <f>Dolnośląski!D22</f>
        <v>141509</v>
      </c>
      <c r="G22" s="57">
        <f>KujawskoPomorski!D22</f>
        <v>113984</v>
      </c>
      <c r="H22" s="57">
        <f>Lubelski!D22</f>
        <v>125438</v>
      </c>
      <c r="I22" s="57">
        <f>Lubuski!D22</f>
        <v>50869</v>
      </c>
      <c r="J22" s="57">
        <f>Łódzki!D22</f>
        <v>158999</v>
      </c>
      <c r="K22" s="57">
        <f>Małopolski!D22</f>
        <v>158477</v>
      </c>
      <c r="L22" s="57">
        <f>Mazowiecki!D22</f>
        <v>248490</v>
      </c>
      <c r="M22" s="57">
        <f>Opolski!D22</f>
        <v>50040</v>
      </c>
      <c r="N22" s="57">
        <f>Podkarpacki!D22</f>
        <v>106015</v>
      </c>
      <c r="O22" s="57">
        <f>Podlaski!D22</f>
        <v>62240</v>
      </c>
      <c r="P22" s="57">
        <f>Pomorski!D22</f>
        <v>133467</v>
      </c>
      <c r="Q22" s="57">
        <f>Śląski!D22</f>
        <v>258995</v>
      </c>
      <c r="R22" s="57">
        <f>Świętokrzyski!D22</f>
        <v>57885</v>
      </c>
      <c r="S22" s="57">
        <f>WarmińskoMazurski!D22</f>
        <v>75339</v>
      </c>
      <c r="T22" s="57">
        <f>Wielkopolski!D22</f>
        <v>221835</v>
      </c>
      <c r="U22" s="57">
        <f>Zachodniopomorski!D22</f>
        <v>128093</v>
      </c>
    </row>
    <row r="23" spans="1:21" ht="47.25" customHeight="1" x14ac:dyDescent="0.2">
      <c r="A23" s="93" t="s">
        <v>13</v>
      </c>
      <c r="B23" s="15" t="s">
        <v>149</v>
      </c>
      <c r="C23" s="56">
        <f t="shared" si="0"/>
        <v>1009941</v>
      </c>
      <c r="D23" s="57">
        <f>CENTRALA!D23</f>
        <v>0</v>
      </c>
      <c r="E23" s="56">
        <f t="shared" si="1"/>
        <v>1009941</v>
      </c>
      <c r="F23" s="57">
        <f>Dolnośląski!D23</f>
        <v>76300</v>
      </c>
      <c r="G23" s="57">
        <f>KujawskoPomorski!D23</f>
        <v>53000</v>
      </c>
      <c r="H23" s="57">
        <f>Lubelski!D23</f>
        <v>53613</v>
      </c>
      <c r="I23" s="57">
        <f>Lubuski!D23</f>
        <v>27300</v>
      </c>
      <c r="J23" s="57">
        <f>Łódzki!D23</f>
        <v>67421</v>
      </c>
      <c r="K23" s="57">
        <f>Małopolski!D23</f>
        <v>79000</v>
      </c>
      <c r="L23" s="57">
        <f>Mazowiecki!D23</f>
        <v>140000</v>
      </c>
      <c r="M23" s="57">
        <f>Opolski!D23</f>
        <v>28375</v>
      </c>
      <c r="N23" s="57">
        <f>Podkarpacki!D23</f>
        <v>56447</v>
      </c>
      <c r="O23" s="57">
        <f>Podlaski!D23</f>
        <v>29000</v>
      </c>
      <c r="P23" s="57">
        <f>Pomorski!D23</f>
        <v>58200</v>
      </c>
      <c r="Q23" s="57">
        <f>Śląski!D23</f>
        <v>149437</v>
      </c>
      <c r="R23" s="57">
        <f>Świętokrzyski!D23</f>
        <v>32540</v>
      </c>
      <c r="S23" s="57">
        <f>WarmińskoMazurski!D23</f>
        <v>35008</v>
      </c>
      <c r="T23" s="57">
        <f>Wielkopolski!D23</f>
        <v>82000</v>
      </c>
      <c r="U23" s="57">
        <f>Zachodniopomorski!D23</f>
        <v>42300</v>
      </c>
    </row>
    <row r="24" spans="1:21" ht="27.75" customHeight="1" x14ac:dyDescent="0.2">
      <c r="A24" s="95" t="s">
        <v>14</v>
      </c>
      <c r="B24" s="35" t="s">
        <v>222</v>
      </c>
      <c r="C24" s="56">
        <f t="shared" si="0"/>
        <v>8164845</v>
      </c>
      <c r="D24" s="57">
        <f>CENTRALA!D24</f>
        <v>0</v>
      </c>
      <c r="E24" s="56">
        <f t="shared" si="1"/>
        <v>8164845</v>
      </c>
      <c r="F24" s="57">
        <f>Dolnośląski!D24</f>
        <v>610761</v>
      </c>
      <c r="G24" s="57">
        <f>KujawskoPomorski!D24</f>
        <v>461611</v>
      </c>
      <c r="H24" s="57">
        <f>Lubelski!D24</f>
        <v>462588</v>
      </c>
      <c r="I24" s="57">
        <f>Lubuski!D24</f>
        <v>201000</v>
      </c>
      <c r="J24" s="57">
        <f>Łódzki!D24</f>
        <v>586703</v>
      </c>
      <c r="K24" s="57">
        <f>Małopolski!D24</f>
        <v>685973</v>
      </c>
      <c r="L24" s="57">
        <f>Mazowiecki!D24</f>
        <v>1147984</v>
      </c>
      <c r="M24" s="57">
        <f>Opolski!D24</f>
        <v>200000</v>
      </c>
      <c r="N24" s="57">
        <f>Podkarpacki!D24</f>
        <v>402252</v>
      </c>
      <c r="O24" s="57">
        <f>Podlaski!D24</f>
        <v>224967</v>
      </c>
      <c r="P24" s="57">
        <f>Pomorski!D24</f>
        <v>536512</v>
      </c>
      <c r="Q24" s="57">
        <f>Śląski!D24</f>
        <v>977671</v>
      </c>
      <c r="R24" s="57">
        <f>Świętokrzyski!D24</f>
        <v>265911</v>
      </c>
      <c r="S24" s="57">
        <f>WarmińskoMazurski!D24</f>
        <v>272874</v>
      </c>
      <c r="T24" s="57">
        <f>Wielkopolski!D24</f>
        <v>765414</v>
      </c>
      <c r="U24" s="57">
        <f>Zachodniopomorski!D24</f>
        <v>362624</v>
      </c>
    </row>
    <row r="25" spans="1:21" ht="37.5" x14ac:dyDescent="0.2">
      <c r="A25" s="94" t="s">
        <v>129</v>
      </c>
      <c r="B25" s="89" t="s">
        <v>151</v>
      </c>
      <c r="C25" s="56">
        <f t="shared" si="0"/>
        <v>8131209</v>
      </c>
      <c r="D25" s="57">
        <f>CENTRALA!D25</f>
        <v>0</v>
      </c>
      <c r="E25" s="56">
        <f t="shared" si="1"/>
        <v>8131209</v>
      </c>
      <c r="F25" s="57">
        <f>Dolnośląski!D25</f>
        <v>608761</v>
      </c>
      <c r="G25" s="57">
        <f>KujawskoPomorski!D25</f>
        <v>460578</v>
      </c>
      <c r="H25" s="57">
        <f>Lubelski!D25</f>
        <v>460088</v>
      </c>
      <c r="I25" s="57">
        <f>Lubuski!D25</f>
        <v>200500</v>
      </c>
      <c r="J25" s="57">
        <f>Łódzki!D25</f>
        <v>584990</v>
      </c>
      <c r="K25" s="57">
        <f>Małopolski!D25</f>
        <v>681973</v>
      </c>
      <c r="L25" s="57">
        <f>Mazowiecki!D25</f>
        <v>1140378</v>
      </c>
      <c r="M25" s="57">
        <f>Opolski!D25</f>
        <v>199290</v>
      </c>
      <c r="N25" s="57">
        <f>Podkarpacki!D25</f>
        <v>398752</v>
      </c>
      <c r="O25" s="57">
        <f>Podlaski!D25</f>
        <v>222957</v>
      </c>
      <c r="P25" s="57">
        <f>Pomorski!D25</f>
        <v>534815</v>
      </c>
      <c r="Q25" s="57">
        <f>Śląski!D25</f>
        <v>975774</v>
      </c>
      <c r="R25" s="57">
        <f>Świętokrzyski!D25</f>
        <v>265121</v>
      </c>
      <c r="S25" s="57">
        <f>WarmińskoMazurski!D25</f>
        <v>272204</v>
      </c>
      <c r="T25" s="57">
        <f>Wielkopolski!D25</f>
        <v>763164</v>
      </c>
      <c r="U25" s="57">
        <f>Zachodniopomorski!D25</f>
        <v>361864</v>
      </c>
    </row>
    <row r="26" spans="1:21" ht="33" customHeight="1" x14ac:dyDescent="0.2">
      <c r="A26" s="94" t="s">
        <v>150</v>
      </c>
      <c r="B26" s="89" t="s">
        <v>153</v>
      </c>
      <c r="C26" s="56">
        <f t="shared" si="0"/>
        <v>20677</v>
      </c>
      <c r="D26" s="57">
        <f>CENTRALA!D26</f>
        <v>0</v>
      </c>
      <c r="E26" s="56">
        <f t="shared" si="1"/>
        <v>20677</v>
      </c>
      <c r="F26" s="57">
        <f>Dolnośląski!D26</f>
        <v>1000</v>
      </c>
      <c r="G26" s="57">
        <f>KujawskoPomorski!D26</f>
        <v>600</v>
      </c>
      <c r="H26" s="57">
        <f>Lubelski!D26</f>
        <v>2200</v>
      </c>
      <c r="I26" s="57">
        <f>Lubuski!D26</f>
        <v>300</v>
      </c>
      <c r="J26" s="57">
        <f>Łódzki!D26</f>
        <v>889</v>
      </c>
      <c r="K26" s="57">
        <f>Małopolski!D26</f>
        <v>3000</v>
      </c>
      <c r="L26" s="57">
        <f>Mazowiecki!D26</f>
        <v>3058</v>
      </c>
      <c r="M26" s="57">
        <f>Opolski!D26</f>
        <v>600</v>
      </c>
      <c r="N26" s="57">
        <f>Podkarpacki!D26</f>
        <v>2500</v>
      </c>
      <c r="O26" s="57">
        <f>Podlaski!D26</f>
        <v>1550</v>
      </c>
      <c r="P26" s="57">
        <f>Pomorski!D26</f>
        <v>931</v>
      </c>
      <c r="Q26" s="57">
        <f>Śląski!D26</f>
        <v>1029</v>
      </c>
      <c r="R26" s="57">
        <f>Świętokrzyski!D26</f>
        <v>590</v>
      </c>
      <c r="S26" s="57">
        <f>WarmińskoMazurski!D26</f>
        <v>520</v>
      </c>
      <c r="T26" s="57">
        <f>Wielkopolski!D26</f>
        <v>1500</v>
      </c>
      <c r="U26" s="57">
        <f>Zachodniopomorski!D26</f>
        <v>410</v>
      </c>
    </row>
    <row r="27" spans="1:21" ht="37.5" x14ac:dyDescent="0.2">
      <c r="A27" s="94" t="s">
        <v>154</v>
      </c>
      <c r="B27" s="89" t="s">
        <v>152</v>
      </c>
      <c r="C27" s="56">
        <f t="shared" si="0"/>
        <v>12959</v>
      </c>
      <c r="D27" s="57">
        <f>CENTRALA!D27</f>
        <v>0</v>
      </c>
      <c r="E27" s="56">
        <f t="shared" si="1"/>
        <v>12959</v>
      </c>
      <c r="F27" s="57">
        <f>Dolnośląski!D27</f>
        <v>1000</v>
      </c>
      <c r="G27" s="57">
        <f>KujawskoPomorski!D27</f>
        <v>433</v>
      </c>
      <c r="H27" s="57">
        <f>Lubelski!D27</f>
        <v>300</v>
      </c>
      <c r="I27" s="57">
        <f>Lubuski!D27</f>
        <v>200</v>
      </c>
      <c r="J27" s="57">
        <f>Łódzki!D27</f>
        <v>824</v>
      </c>
      <c r="K27" s="57">
        <f>Małopolski!D27</f>
        <v>1000</v>
      </c>
      <c r="L27" s="57">
        <f>Mazowiecki!D27</f>
        <v>4548</v>
      </c>
      <c r="M27" s="57">
        <f>Opolski!D27</f>
        <v>110</v>
      </c>
      <c r="N27" s="57">
        <f>Podkarpacki!D27</f>
        <v>1000</v>
      </c>
      <c r="O27" s="57">
        <f>Podlaski!D27</f>
        <v>460</v>
      </c>
      <c r="P27" s="57">
        <f>Pomorski!D27</f>
        <v>766</v>
      </c>
      <c r="Q27" s="57">
        <f>Śląski!D27</f>
        <v>868</v>
      </c>
      <c r="R27" s="57">
        <f>Świętokrzyski!D27</f>
        <v>200</v>
      </c>
      <c r="S27" s="57">
        <f>WarmińskoMazurski!D27</f>
        <v>150</v>
      </c>
      <c r="T27" s="57">
        <f>Wielkopolski!D27</f>
        <v>750</v>
      </c>
      <c r="U27" s="57">
        <f>Zachodniopomorski!D27</f>
        <v>350</v>
      </c>
    </row>
    <row r="28" spans="1:21" ht="27.75" customHeight="1" x14ac:dyDescent="0.2">
      <c r="A28" s="96" t="s">
        <v>15</v>
      </c>
      <c r="B28" s="16" t="s">
        <v>113</v>
      </c>
      <c r="C28" s="56">
        <f t="shared" si="0"/>
        <v>545092</v>
      </c>
      <c r="D28" s="57">
        <f>CENTRALA!D28</f>
        <v>545092</v>
      </c>
      <c r="E28" s="56">
        <f t="shared" si="1"/>
        <v>0</v>
      </c>
      <c r="F28" s="57">
        <f>Dolnośląski!D28</f>
        <v>0</v>
      </c>
      <c r="G28" s="57">
        <f>KujawskoPomorski!D28</f>
        <v>0</v>
      </c>
      <c r="H28" s="57">
        <f>Lubelski!D28</f>
        <v>0</v>
      </c>
      <c r="I28" s="57">
        <f>Lubuski!D28</f>
        <v>0</v>
      </c>
      <c r="J28" s="57">
        <f>Łódzki!D28</f>
        <v>0</v>
      </c>
      <c r="K28" s="57">
        <f>Małopolski!D28</f>
        <v>0</v>
      </c>
      <c r="L28" s="57">
        <f>Mazowiecki!D28</f>
        <v>0</v>
      </c>
      <c r="M28" s="57">
        <f>Opolski!D28</f>
        <v>0</v>
      </c>
      <c r="N28" s="57">
        <f>Podkarpacki!D28</f>
        <v>0</v>
      </c>
      <c r="O28" s="57">
        <f>Podlaski!D28</f>
        <v>0</v>
      </c>
      <c r="P28" s="57">
        <f>Pomorski!D28</f>
        <v>0</v>
      </c>
      <c r="Q28" s="57">
        <f>Śląski!D28</f>
        <v>0</v>
      </c>
      <c r="R28" s="57">
        <f>Świętokrzyski!D28</f>
        <v>0</v>
      </c>
      <c r="S28" s="57">
        <f>WarmińskoMazurski!D28</f>
        <v>0</v>
      </c>
      <c r="T28" s="57">
        <f>Wielkopolski!D28</f>
        <v>0</v>
      </c>
      <c r="U28" s="57">
        <f>Zachodniopomorski!D28</f>
        <v>0</v>
      </c>
    </row>
    <row r="29" spans="1:21" ht="47.25" customHeight="1" x14ac:dyDescent="0.2">
      <c r="A29" s="96" t="s">
        <v>110</v>
      </c>
      <c r="B29" s="17" t="s">
        <v>155</v>
      </c>
      <c r="C29" s="56">
        <f t="shared" si="0"/>
        <v>232378</v>
      </c>
      <c r="D29" s="57">
        <f>CENTRALA!D29</f>
        <v>0</v>
      </c>
      <c r="E29" s="56">
        <f t="shared" si="1"/>
        <v>232378</v>
      </c>
      <c r="F29" s="57">
        <f>Dolnośląski!D29</f>
        <v>18848</v>
      </c>
      <c r="G29" s="57">
        <f>KujawskoPomorski!D29</f>
        <v>0</v>
      </c>
      <c r="H29" s="57">
        <f>Lubelski!D29</f>
        <v>0</v>
      </c>
      <c r="I29" s="57">
        <f>Lubuski!D29</f>
        <v>0</v>
      </c>
      <c r="J29" s="57">
        <f>Łódzki!D29</f>
        <v>15080</v>
      </c>
      <c r="K29" s="57">
        <f>Małopolski!D29</f>
        <v>48500</v>
      </c>
      <c r="L29" s="57">
        <f>Mazowiecki!D29</f>
        <v>37000</v>
      </c>
      <c r="M29" s="57">
        <f>Opolski!D29</f>
        <v>4000</v>
      </c>
      <c r="N29" s="57">
        <f>Podkarpacki!D29</f>
        <v>9400</v>
      </c>
      <c r="O29" s="57">
        <f>Podlaski!D29</f>
        <v>0</v>
      </c>
      <c r="P29" s="57">
        <f>Pomorski!D29</f>
        <v>0</v>
      </c>
      <c r="Q29" s="57">
        <f>Śląski!D29</f>
        <v>71000</v>
      </c>
      <c r="R29" s="57">
        <f>Świętokrzyski!D29</f>
        <v>11550</v>
      </c>
      <c r="S29" s="57">
        <f>WarmińskoMazurski!D29</f>
        <v>10000</v>
      </c>
      <c r="T29" s="57">
        <f>Wielkopolski!D29</f>
        <v>0</v>
      </c>
      <c r="U29" s="57">
        <f>Zachodniopomorski!D29</f>
        <v>7000</v>
      </c>
    </row>
    <row r="30" spans="1:21" ht="30" customHeight="1" x14ac:dyDescent="0.2">
      <c r="A30" s="94" t="s">
        <v>156</v>
      </c>
      <c r="B30" s="89" t="s">
        <v>167</v>
      </c>
      <c r="C30" s="56">
        <f t="shared" si="0"/>
        <v>0</v>
      </c>
      <c r="D30" s="57">
        <f>CENTRALA!D30</f>
        <v>0</v>
      </c>
      <c r="E30" s="56">
        <f t="shared" si="1"/>
        <v>0</v>
      </c>
      <c r="F30" s="57">
        <f>Dolnośląski!D30</f>
        <v>0</v>
      </c>
      <c r="G30" s="57">
        <f>KujawskoPomorski!D30</f>
        <v>0</v>
      </c>
      <c r="H30" s="57">
        <f>Lubelski!D30</f>
        <v>0</v>
      </c>
      <c r="I30" s="57">
        <f>Lubuski!D30</f>
        <v>0</v>
      </c>
      <c r="J30" s="57">
        <f>Łódzki!D30</f>
        <v>0</v>
      </c>
      <c r="K30" s="57">
        <f>Małopolski!D30</f>
        <v>0</v>
      </c>
      <c r="L30" s="57">
        <f>Mazowiecki!D30</f>
        <v>0</v>
      </c>
      <c r="M30" s="57">
        <f>Opolski!D30</f>
        <v>0</v>
      </c>
      <c r="N30" s="57">
        <f>Podkarpacki!D30</f>
        <v>0</v>
      </c>
      <c r="O30" s="57">
        <f>Podlaski!D30</f>
        <v>0</v>
      </c>
      <c r="P30" s="57">
        <f>Pomorski!D30</f>
        <v>0</v>
      </c>
      <c r="Q30" s="57">
        <f>Śląski!D30</f>
        <v>0</v>
      </c>
      <c r="R30" s="57">
        <f>Świętokrzyski!D30</f>
        <v>0</v>
      </c>
      <c r="S30" s="57">
        <f>WarmińskoMazurski!D30</f>
        <v>0</v>
      </c>
      <c r="T30" s="57">
        <f>Wielkopolski!D30</f>
        <v>0</v>
      </c>
      <c r="U30" s="57">
        <f>Zachodniopomorski!D30</f>
        <v>0</v>
      </c>
    </row>
    <row r="31" spans="1:21" ht="27.75" customHeight="1" x14ac:dyDescent="0.2">
      <c r="A31" s="96" t="s">
        <v>111</v>
      </c>
      <c r="B31" s="17" t="s">
        <v>114</v>
      </c>
      <c r="C31" s="56">
        <f t="shared" si="0"/>
        <v>0</v>
      </c>
      <c r="D31" s="57">
        <f>CENTRALA!D31</f>
        <v>0</v>
      </c>
      <c r="E31" s="56">
        <f t="shared" si="1"/>
        <v>0</v>
      </c>
      <c r="F31" s="57">
        <f>Dolnośląski!D31</f>
        <v>0</v>
      </c>
      <c r="G31" s="57">
        <f>KujawskoPomorski!D31</f>
        <v>0</v>
      </c>
      <c r="H31" s="57">
        <f>Lubelski!D31</f>
        <v>0</v>
      </c>
      <c r="I31" s="57">
        <f>Lubuski!D31</f>
        <v>0</v>
      </c>
      <c r="J31" s="57">
        <f>Łódzki!D31</f>
        <v>0</v>
      </c>
      <c r="K31" s="57">
        <f>Małopolski!D31</f>
        <v>0</v>
      </c>
      <c r="L31" s="57">
        <f>Mazowiecki!D31</f>
        <v>0</v>
      </c>
      <c r="M31" s="57">
        <f>Opolski!D31</f>
        <v>0</v>
      </c>
      <c r="N31" s="57">
        <f>Podkarpacki!D31</f>
        <v>0</v>
      </c>
      <c r="O31" s="57">
        <f>Podlaski!D31</f>
        <v>0</v>
      </c>
      <c r="P31" s="57">
        <f>Pomorski!D31</f>
        <v>0</v>
      </c>
      <c r="Q31" s="57">
        <f>Śląski!D31</f>
        <v>0</v>
      </c>
      <c r="R31" s="57">
        <f>Świętokrzyski!D31</f>
        <v>0</v>
      </c>
      <c r="S31" s="57">
        <f>WarmińskoMazurski!D31</f>
        <v>0</v>
      </c>
      <c r="T31" s="57">
        <f>Wielkopolski!D31</f>
        <v>0</v>
      </c>
      <c r="U31" s="57">
        <f>Zachodniopomorski!D31</f>
        <v>0</v>
      </c>
    </row>
    <row r="32" spans="1:21" ht="27.75" customHeight="1" x14ac:dyDescent="0.2">
      <c r="A32" s="96" t="s">
        <v>112</v>
      </c>
      <c r="B32" s="17" t="s">
        <v>166</v>
      </c>
      <c r="C32" s="56">
        <f t="shared" si="0"/>
        <v>339310</v>
      </c>
      <c r="D32" s="57">
        <f>CENTRALA!D32</f>
        <v>0</v>
      </c>
      <c r="E32" s="56">
        <f t="shared" si="1"/>
        <v>339310</v>
      </c>
      <c r="F32" s="57">
        <f>Dolnośląski!D32</f>
        <v>8181</v>
      </c>
      <c r="G32" s="57">
        <f>KujawskoPomorski!D32</f>
        <v>26656</v>
      </c>
      <c r="H32" s="57">
        <f>Lubelski!D32</f>
        <v>15510</v>
      </c>
      <c r="I32" s="57">
        <f>Lubuski!D32</f>
        <v>9038</v>
      </c>
      <c r="J32" s="57">
        <f>Łódzki!D32</f>
        <v>27758</v>
      </c>
      <c r="K32" s="57">
        <f>Małopolski!D32</f>
        <v>30054</v>
      </c>
      <c r="L32" s="57">
        <f>Mazowiecki!D32</f>
        <v>30769</v>
      </c>
      <c r="M32" s="57">
        <f>Opolski!D32</f>
        <v>12005</v>
      </c>
      <c r="N32" s="57">
        <f>Podkarpacki!D32</f>
        <v>28013</v>
      </c>
      <c r="O32" s="57">
        <f>Podlaski!D32</f>
        <v>6746</v>
      </c>
      <c r="P32" s="57">
        <f>Pomorski!D32</f>
        <v>3299</v>
      </c>
      <c r="Q32" s="57">
        <f>Śląski!D32</f>
        <v>38594</v>
      </c>
      <c r="R32" s="57">
        <f>Świętokrzyski!D32</f>
        <v>41513</v>
      </c>
      <c r="S32" s="57">
        <f>WarmińskoMazurski!D32</f>
        <v>9668</v>
      </c>
      <c r="T32" s="57">
        <f>Wielkopolski!D32</f>
        <v>45332</v>
      </c>
      <c r="U32" s="57">
        <f>Zachodniopomorski!D32</f>
        <v>6174</v>
      </c>
    </row>
    <row r="33" spans="1:21" ht="27.75" customHeight="1" x14ac:dyDescent="0.2">
      <c r="A33" s="96" t="s">
        <v>223</v>
      </c>
      <c r="B33" s="17" t="s">
        <v>224</v>
      </c>
      <c r="C33" s="56">
        <f>D33+E33</f>
        <v>50000</v>
      </c>
      <c r="D33" s="57">
        <f>CENTRALA!D33</f>
        <v>50000</v>
      </c>
      <c r="E33" s="56">
        <f>SUM(F33:U33)</f>
        <v>0</v>
      </c>
      <c r="F33" s="57">
        <f>Dolnośląski!D33</f>
        <v>0</v>
      </c>
      <c r="G33" s="57">
        <f>KujawskoPomorski!D33</f>
        <v>0</v>
      </c>
      <c r="H33" s="57">
        <f>Lubelski!D33</f>
        <v>0</v>
      </c>
      <c r="I33" s="57">
        <f>Lubuski!D33</f>
        <v>0</v>
      </c>
      <c r="J33" s="57">
        <f>Łódzki!D33</f>
        <v>0</v>
      </c>
      <c r="K33" s="57">
        <f>Małopolski!D33</f>
        <v>0</v>
      </c>
      <c r="L33" s="57">
        <f>Mazowiecki!D33</f>
        <v>0</v>
      </c>
      <c r="M33" s="57">
        <f>Opolski!D33</f>
        <v>0</v>
      </c>
      <c r="N33" s="57">
        <f>Podkarpacki!D33</f>
        <v>0</v>
      </c>
      <c r="O33" s="57">
        <f>Podlaski!D33</f>
        <v>0</v>
      </c>
      <c r="P33" s="57">
        <f>Pomorski!D33</f>
        <v>0</v>
      </c>
      <c r="Q33" s="57">
        <f>Śląski!D33</f>
        <v>0</v>
      </c>
      <c r="R33" s="57">
        <f>Świętokrzyski!D33</f>
        <v>0</v>
      </c>
      <c r="S33" s="57">
        <f>WarmińskoMazurski!D33</f>
        <v>0</v>
      </c>
      <c r="T33" s="57">
        <f>Wielkopolski!D33</f>
        <v>0</v>
      </c>
      <c r="U33" s="57">
        <f>Zachodniopomorski!D33</f>
        <v>0</v>
      </c>
    </row>
    <row r="34" spans="1:21" ht="33" customHeight="1" x14ac:dyDescent="0.2">
      <c r="A34" s="96" t="s">
        <v>233</v>
      </c>
      <c r="B34" s="17" t="s">
        <v>234</v>
      </c>
      <c r="C34" s="56">
        <f>D34+E34</f>
        <v>100</v>
      </c>
      <c r="D34" s="57">
        <f>CENTRALA!D34</f>
        <v>0</v>
      </c>
      <c r="E34" s="56">
        <f>SUM(F34:U34)</f>
        <v>100</v>
      </c>
      <c r="F34" s="57">
        <f>Dolnośląski!D34</f>
        <v>100</v>
      </c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</row>
    <row r="35" spans="1:21" ht="33.75" customHeight="1" x14ac:dyDescent="0.2">
      <c r="A35" s="97" t="s">
        <v>58</v>
      </c>
      <c r="B35" s="18" t="s">
        <v>59</v>
      </c>
      <c r="C35" s="56">
        <f t="shared" si="0"/>
        <v>0</v>
      </c>
      <c r="D35" s="68">
        <f>CENTRALA!D35</f>
        <v>0</v>
      </c>
      <c r="E35" s="56">
        <f t="shared" si="1"/>
        <v>0</v>
      </c>
      <c r="F35" s="57">
        <f>Dolnośląski!D35</f>
        <v>0</v>
      </c>
      <c r="G35" s="68">
        <f>KujawskoPomorski!D35</f>
        <v>0</v>
      </c>
      <c r="H35" s="68">
        <f>Lubelski!D35</f>
        <v>0</v>
      </c>
      <c r="I35" s="68">
        <f>Lubuski!D35</f>
        <v>0</v>
      </c>
      <c r="J35" s="68">
        <f>Łódzki!D35</f>
        <v>0</v>
      </c>
      <c r="K35" s="68">
        <f>Małopolski!D35</f>
        <v>0</v>
      </c>
      <c r="L35" s="68">
        <f>Mazowiecki!D35</f>
        <v>0</v>
      </c>
      <c r="M35" s="68">
        <f>Opolski!D35</f>
        <v>0</v>
      </c>
      <c r="N35" s="68">
        <f>Podkarpacki!D35</f>
        <v>0</v>
      </c>
      <c r="O35" s="68">
        <f>Podlaski!D35</f>
        <v>0</v>
      </c>
      <c r="P35" s="68">
        <f>Pomorski!D35</f>
        <v>0</v>
      </c>
      <c r="Q35" s="68">
        <f>Śląski!D35</f>
        <v>0</v>
      </c>
      <c r="R35" s="68">
        <f>Świętokrzyski!D35</f>
        <v>0</v>
      </c>
      <c r="S35" s="68">
        <f>WarmińskoMazurski!D35</f>
        <v>0</v>
      </c>
      <c r="T35" s="68">
        <f>Wielkopolski!D35</f>
        <v>0</v>
      </c>
      <c r="U35" s="68">
        <f>Zachodniopomorski!D35</f>
        <v>0</v>
      </c>
    </row>
    <row r="36" spans="1:21" ht="33.75" customHeight="1" x14ac:dyDescent="0.2">
      <c r="A36" s="97" t="s">
        <v>57</v>
      </c>
      <c r="B36" s="18" t="s">
        <v>60</v>
      </c>
      <c r="C36" s="56">
        <f t="shared" si="0"/>
        <v>1901309</v>
      </c>
      <c r="D36" s="68">
        <f>CENTRALA!D36</f>
        <v>0</v>
      </c>
      <c r="E36" s="56">
        <f t="shared" si="1"/>
        <v>1901309</v>
      </c>
      <c r="F36" s="57">
        <f>Dolnośląski!D36</f>
        <v>142465</v>
      </c>
      <c r="G36" s="68">
        <f>KujawskoPomorski!D36</f>
        <v>110936</v>
      </c>
      <c r="H36" s="68">
        <f>Lubelski!D36</f>
        <v>118011</v>
      </c>
      <c r="I36" s="68">
        <f>Lubuski!D36</f>
        <v>66857</v>
      </c>
      <c r="J36" s="68">
        <f>Łódzki!D36</f>
        <v>125094</v>
      </c>
      <c r="K36" s="68">
        <f>Małopolski!D36</f>
        <v>154271</v>
      </c>
      <c r="L36" s="68">
        <f>Mazowiecki!D36</f>
        <v>233743</v>
      </c>
      <c r="M36" s="68">
        <f>Opolski!D36</f>
        <v>53191</v>
      </c>
      <c r="N36" s="68">
        <f>Podkarpacki!D36</f>
        <v>109065</v>
      </c>
      <c r="O36" s="68">
        <f>Podlaski!D36</f>
        <v>70656</v>
      </c>
      <c r="P36" s="68">
        <f>Pomorski!D36</f>
        <v>106532</v>
      </c>
      <c r="Q36" s="68">
        <f>Śląski!D36</f>
        <v>202876</v>
      </c>
      <c r="R36" s="68">
        <f>Świętokrzyski!D36</f>
        <v>58851</v>
      </c>
      <c r="S36" s="68">
        <f>WarmińskoMazurski!D36</f>
        <v>96024</v>
      </c>
      <c r="T36" s="68">
        <f>Wielkopolski!D36</f>
        <v>148552</v>
      </c>
      <c r="U36" s="68">
        <f>Zachodniopomorski!D36</f>
        <v>104185</v>
      </c>
    </row>
    <row r="37" spans="1:21" ht="60.75" x14ac:dyDescent="0.2">
      <c r="A37" s="97" t="s">
        <v>235</v>
      </c>
      <c r="B37" s="18" t="s">
        <v>236</v>
      </c>
      <c r="C37" s="56">
        <f t="shared" si="0"/>
        <v>43231</v>
      </c>
      <c r="D37" s="68">
        <f>CENTRALA!D37</f>
        <v>0</v>
      </c>
      <c r="E37" s="56">
        <f t="shared" si="1"/>
        <v>43231</v>
      </c>
      <c r="F37" s="57">
        <f>Dolnośląski!D37</f>
        <v>43231</v>
      </c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</row>
    <row r="38" spans="1:21" ht="40.5" x14ac:dyDescent="0.2">
      <c r="A38" s="97" t="s">
        <v>157</v>
      </c>
      <c r="B38" s="18" t="s">
        <v>158</v>
      </c>
      <c r="C38" s="56">
        <f t="shared" si="0"/>
        <v>11843415</v>
      </c>
      <c r="D38" s="68">
        <f>CENTRALA!D38</f>
        <v>0</v>
      </c>
      <c r="E38" s="56">
        <f t="shared" si="1"/>
        <v>11843415</v>
      </c>
      <c r="F38" s="57">
        <f>Dolnośląski!D38</f>
        <v>898165</v>
      </c>
      <c r="G38" s="68">
        <f>KujawskoPomorski!D38</f>
        <v>646005</v>
      </c>
      <c r="H38" s="68">
        <f>Lubelski!D38</f>
        <v>647081</v>
      </c>
      <c r="I38" s="68">
        <f>Lubuski!D38</f>
        <v>296732</v>
      </c>
      <c r="J38" s="68">
        <f>Łódzki!D38</f>
        <v>835042</v>
      </c>
      <c r="K38" s="68">
        <f>Małopolski!D38</f>
        <v>1011879</v>
      </c>
      <c r="L38" s="68">
        <f>Mazowiecki!D38</f>
        <v>1743081</v>
      </c>
      <c r="M38" s="68">
        <f>Opolski!D38</f>
        <v>276393</v>
      </c>
      <c r="N38" s="68">
        <f>Podkarpacki!D38</f>
        <v>594565</v>
      </c>
      <c r="O38" s="68">
        <f>Podlaski!D38</f>
        <v>330451</v>
      </c>
      <c r="P38" s="68">
        <f>Pomorski!D38</f>
        <v>770569</v>
      </c>
      <c r="Q38" s="68">
        <f>Śląski!D38</f>
        <v>1423451</v>
      </c>
      <c r="R38" s="68">
        <f>Świętokrzyski!D38</f>
        <v>383568</v>
      </c>
      <c r="S38" s="68">
        <f>WarmińskoMazurski!D38</f>
        <v>381826</v>
      </c>
      <c r="T38" s="68">
        <f>Wielkopolski!D38</f>
        <v>1100410</v>
      </c>
      <c r="U38" s="68">
        <f>Zachodniopomorski!D38</f>
        <v>504197</v>
      </c>
    </row>
    <row r="39" spans="1:21" ht="20.25" x14ac:dyDescent="0.2">
      <c r="A39" s="98" t="s">
        <v>16</v>
      </c>
      <c r="B39" s="23" t="s">
        <v>228</v>
      </c>
      <c r="C39" s="58">
        <f t="shared" si="0"/>
        <v>752867</v>
      </c>
      <c r="D39" s="58">
        <f>CENTRALA!D39</f>
        <v>235931</v>
      </c>
      <c r="E39" s="58">
        <f t="shared" si="1"/>
        <v>516936</v>
      </c>
      <c r="F39" s="58">
        <f>Dolnośląski!D39</f>
        <v>36225</v>
      </c>
      <c r="G39" s="58">
        <f>KujawskoPomorski!D39</f>
        <v>31250</v>
      </c>
      <c r="H39" s="58">
        <f>Lubelski!D39</f>
        <v>25583</v>
      </c>
      <c r="I39" s="58">
        <f>Lubuski!D39</f>
        <v>17516</v>
      </c>
      <c r="J39" s="58">
        <f>Łódzki!D39</f>
        <v>31624</v>
      </c>
      <c r="K39" s="58">
        <f>Małopolski!D39</f>
        <v>42529</v>
      </c>
      <c r="L39" s="58">
        <f>Mazowiecki!D39</f>
        <v>69881</v>
      </c>
      <c r="M39" s="58">
        <f>Opolski!D39</f>
        <v>16136</v>
      </c>
      <c r="N39" s="58">
        <f>Podkarpacki!D39</f>
        <v>25858</v>
      </c>
      <c r="O39" s="58">
        <f>Podlaski!D39</f>
        <v>17784</v>
      </c>
      <c r="P39" s="58">
        <f>Pomorski!D39</f>
        <v>33134</v>
      </c>
      <c r="Q39" s="58">
        <f>Śląski!D39</f>
        <v>66153</v>
      </c>
      <c r="R39" s="58">
        <f>Świętokrzyski!D39</f>
        <v>16819</v>
      </c>
      <c r="S39" s="58">
        <f>WarmińskoMazurski!D39</f>
        <v>19410</v>
      </c>
      <c r="T39" s="58">
        <f>Wielkopolski!D39</f>
        <v>44231</v>
      </c>
      <c r="U39" s="58">
        <f>Zachodniopomorski!D39</f>
        <v>22803</v>
      </c>
    </row>
    <row r="40" spans="1:21" ht="27.75" customHeight="1" x14ac:dyDescent="0.2">
      <c r="A40" s="96" t="s">
        <v>17</v>
      </c>
      <c r="B40" s="20" t="s">
        <v>18</v>
      </c>
      <c r="C40" s="56">
        <f t="shared" si="0"/>
        <v>26086</v>
      </c>
      <c r="D40" s="57">
        <f>CENTRALA!D40</f>
        <v>3680</v>
      </c>
      <c r="E40" s="56">
        <f t="shared" si="1"/>
        <v>22406</v>
      </c>
      <c r="F40" s="57">
        <f>Dolnośląski!D40</f>
        <v>1397</v>
      </c>
      <c r="G40" s="57">
        <f>KujawskoPomorski!D40</f>
        <v>2740</v>
      </c>
      <c r="H40" s="57">
        <f>Lubelski!D40</f>
        <v>873</v>
      </c>
      <c r="I40" s="57">
        <f>Lubuski!D40</f>
        <v>810</v>
      </c>
      <c r="J40" s="57">
        <f>Łódzki!D40</f>
        <v>1256</v>
      </c>
      <c r="K40" s="57">
        <f>Małopolski!D40</f>
        <v>1750</v>
      </c>
      <c r="L40" s="57">
        <f>Mazowiecki!D40</f>
        <v>2026</v>
      </c>
      <c r="M40" s="57">
        <f>Opolski!D40</f>
        <v>826</v>
      </c>
      <c r="N40" s="57">
        <f>Podkarpacki!D40</f>
        <v>1350</v>
      </c>
      <c r="O40" s="57">
        <f>Podlaski!D40</f>
        <v>679</v>
      </c>
      <c r="P40" s="57">
        <f>Pomorski!D40</f>
        <v>1599</v>
      </c>
      <c r="Q40" s="57">
        <f>Śląski!D40</f>
        <v>2584</v>
      </c>
      <c r="R40" s="57">
        <f>Świętokrzyski!D40</f>
        <v>569</v>
      </c>
      <c r="S40" s="57">
        <f>WarmińskoMazurski!D40</f>
        <v>777</v>
      </c>
      <c r="T40" s="57">
        <f>Wielkopolski!D40</f>
        <v>2360</v>
      </c>
      <c r="U40" s="57">
        <f>Zachodniopomorski!D40</f>
        <v>810</v>
      </c>
    </row>
    <row r="41" spans="1:21" ht="27.75" customHeight="1" x14ac:dyDescent="0.2">
      <c r="A41" s="96" t="s">
        <v>19</v>
      </c>
      <c r="B41" s="20" t="s">
        <v>20</v>
      </c>
      <c r="C41" s="56">
        <f t="shared" si="0"/>
        <v>185263</v>
      </c>
      <c r="D41" s="57">
        <f>CENTRALA!D41</f>
        <v>117662</v>
      </c>
      <c r="E41" s="56">
        <f t="shared" si="1"/>
        <v>67601</v>
      </c>
      <c r="F41" s="57">
        <f>Dolnośląski!D41</f>
        <v>4215</v>
      </c>
      <c r="G41" s="57">
        <f>KujawskoPomorski!D41</f>
        <v>4152</v>
      </c>
      <c r="H41" s="57">
        <f>Lubelski!D41</f>
        <v>2803</v>
      </c>
      <c r="I41" s="57">
        <f>Lubuski!D41</f>
        <v>2153</v>
      </c>
      <c r="J41" s="57">
        <f>Łódzki!D41</f>
        <v>5267</v>
      </c>
      <c r="K41" s="57">
        <f>Małopolski!D41</f>
        <v>5827</v>
      </c>
      <c r="L41" s="57">
        <f>Mazowiecki!D41</f>
        <v>12156</v>
      </c>
      <c r="M41" s="57">
        <f>Opolski!D41</f>
        <v>2155</v>
      </c>
      <c r="N41" s="57">
        <f>Podkarpacki!D41</f>
        <v>2816</v>
      </c>
      <c r="O41" s="57">
        <f>Podlaski!D41</f>
        <v>950</v>
      </c>
      <c r="P41" s="57">
        <f>Pomorski!D41</f>
        <v>3289</v>
      </c>
      <c r="Q41" s="57">
        <f>Śląski!D41</f>
        <v>8307</v>
      </c>
      <c r="R41" s="57">
        <f>Świętokrzyski!D41</f>
        <v>1725</v>
      </c>
      <c r="S41" s="57">
        <f>WarmińskoMazurski!D41</f>
        <v>2077</v>
      </c>
      <c r="T41" s="57">
        <f>Wielkopolski!D41</f>
        <v>6904</v>
      </c>
      <c r="U41" s="57">
        <f>Zachodniopomorski!D41</f>
        <v>2805</v>
      </c>
    </row>
    <row r="42" spans="1:21" ht="27.75" customHeight="1" x14ac:dyDescent="0.2">
      <c r="A42" s="96" t="s">
        <v>21</v>
      </c>
      <c r="B42" s="21" t="s">
        <v>229</v>
      </c>
      <c r="C42" s="56">
        <f t="shared" si="0"/>
        <v>4665</v>
      </c>
      <c r="D42" s="57">
        <f>CENTRALA!D42</f>
        <v>713</v>
      </c>
      <c r="E42" s="56">
        <f t="shared" si="1"/>
        <v>3952</v>
      </c>
      <c r="F42" s="57">
        <f>Dolnośląski!D42</f>
        <v>351</v>
      </c>
      <c r="G42" s="57">
        <f>KujawskoPomorski!D42</f>
        <v>236</v>
      </c>
      <c r="H42" s="57">
        <f>Lubelski!D42</f>
        <v>265</v>
      </c>
      <c r="I42" s="57">
        <f>Lubuski!D42</f>
        <v>78</v>
      </c>
      <c r="J42" s="57">
        <f>Łódzki!D42</f>
        <v>254</v>
      </c>
      <c r="K42" s="57">
        <f>Małopolski!D42</f>
        <v>290</v>
      </c>
      <c r="L42" s="57">
        <f>Mazowiecki!D42</f>
        <v>233</v>
      </c>
      <c r="M42" s="57">
        <f>Opolski!D42</f>
        <v>166</v>
      </c>
      <c r="N42" s="57">
        <f>Podkarpacki!D42</f>
        <v>119</v>
      </c>
      <c r="O42" s="57">
        <f>Podlaski!D42</f>
        <v>246</v>
      </c>
      <c r="P42" s="57">
        <f>Pomorski!D42</f>
        <v>135</v>
      </c>
      <c r="Q42" s="57">
        <f>Śląski!D42</f>
        <v>607</v>
      </c>
      <c r="R42" s="57">
        <f>Świętokrzyski!D42</f>
        <v>61</v>
      </c>
      <c r="S42" s="57">
        <f>WarmińskoMazurski!D42</f>
        <v>132</v>
      </c>
      <c r="T42" s="57">
        <f>Wielkopolski!D42</f>
        <v>554</v>
      </c>
      <c r="U42" s="57">
        <f>Zachodniopomorski!D42</f>
        <v>225</v>
      </c>
    </row>
    <row r="43" spans="1:21" ht="23.25" x14ac:dyDescent="0.2">
      <c r="A43" s="99" t="s">
        <v>39</v>
      </c>
      <c r="B43" s="90" t="s">
        <v>32</v>
      </c>
      <c r="C43" s="56">
        <f t="shared" si="0"/>
        <v>614</v>
      </c>
      <c r="D43" s="57">
        <f>CENTRALA!D43</f>
        <v>100</v>
      </c>
      <c r="E43" s="56">
        <f t="shared" si="1"/>
        <v>514</v>
      </c>
      <c r="F43" s="57">
        <f>Dolnośląski!D43</f>
        <v>54</v>
      </c>
      <c r="G43" s="57">
        <f>KujawskoPomorski!D43</f>
        <v>33</v>
      </c>
      <c r="H43" s="57">
        <f>Lubelski!D43</f>
        <v>31</v>
      </c>
      <c r="I43" s="57">
        <f>Lubuski!D43</f>
        <v>15</v>
      </c>
      <c r="J43" s="57">
        <f>Łódzki!D43</f>
        <v>11</v>
      </c>
      <c r="K43" s="57">
        <f>Małopolski!D43</f>
        <v>24</v>
      </c>
      <c r="L43" s="57">
        <f>Mazowiecki!D43</f>
        <v>20</v>
      </c>
      <c r="M43" s="57">
        <f>Opolski!D43</f>
        <v>0</v>
      </c>
      <c r="N43" s="57">
        <f>Podkarpacki!D43</f>
        <v>27</v>
      </c>
      <c r="O43" s="57">
        <f>Podlaski!D43</f>
        <v>19</v>
      </c>
      <c r="P43" s="57">
        <f>Pomorski!D43</f>
        <v>44</v>
      </c>
      <c r="Q43" s="57">
        <f>Śląski!D43</f>
        <v>122</v>
      </c>
      <c r="R43" s="57">
        <f>Świętokrzyski!D43</f>
        <v>7</v>
      </c>
      <c r="S43" s="57">
        <f>WarmińskoMazurski!D43</f>
        <v>30</v>
      </c>
      <c r="T43" s="57">
        <f>Wielkopolski!D43</f>
        <v>52</v>
      </c>
      <c r="U43" s="57">
        <f>Zachodniopomorski!D43</f>
        <v>25</v>
      </c>
    </row>
    <row r="44" spans="1:21" ht="23.25" x14ac:dyDescent="0.2">
      <c r="A44" s="99" t="s">
        <v>40</v>
      </c>
      <c r="B44" s="91" t="s">
        <v>33</v>
      </c>
      <c r="C44" s="56">
        <f t="shared" si="0"/>
        <v>611</v>
      </c>
      <c r="D44" s="57">
        <f>CENTRALA!D44</f>
        <v>100</v>
      </c>
      <c r="E44" s="56">
        <f t="shared" si="1"/>
        <v>511</v>
      </c>
      <c r="F44" s="57">
        <f>Dolnośląski!D44</f>
        <v>54</v>
      </c>
      <c r="G44" s="57">
        <f>KujawskoPomorski!D44</f>
        <v>33</v>
      </c>
      <c r="H44" s="57">
        <f>Lubelski!D44</f>
        <v>31</v>
      </c>
      <c r="I44" s="57">
        <f>Lubuski!D44</f>
        <v>15</v>
      </c>
      <c r="J44" s="57">
        <f>Łódzki!D44</f>
        <v>11</v>
      </c>
      <c r="K44" s="57">
        <f>Małopolski!D44</f>
        <v>24</v>
      </c>
      <c r="L44" s="57">
        <f>Mazowiecki!D44</f>
        <v>20</v>
      </c>
      <c r="M44" s="57">
        <f>Opolski!D44</f>
        <v>0</v>
      </c>
      <c r="N44" s="57">
        <f>Podkarpacki!D44</f>
        <v>27</v>
      </c>
      <c r="O44" s="57">
        <f>Podlaski!D44</f>
        <v>19</v>
      </c>
      <c r="P44" s="57">
        <f>Pomorski!D44</f>
        <v>44</v>
      </c>
      <c r="Q44" s="57">
        <f>Śląski!D44</f>
        <v>122</v>
      </c>
      <c r="R44" s="57">
        <f>Świętokrzyski!D44</f>
        <v>7</v>
      </c>
      <c r="S44" s="57">
        <f>WarmińskoMazurski!D44</f>
        <v>27</v>
      </c>
      <c r="T44" s="57">
        <f>Wielkopolski!D44</f>
        <v>52</v>
      </c>
      <c r="U44" s="57">
        <f>Zachodniopomorski!D44</f>
        <v>25</v>
      </c>
    </row>
    <row r="45" spans="1:21" ht="23.25" x14ac:dyDescent="0.2">
      <c r="A45" s="99" t="s">
        <v>41</v>
      </c>
      <c r="B45" s="90" t="s">
        <v>34</v>
      </c>
      <c r="C45" s="56">
        <f t="shared" si="0"/>
        <v>676</v>
      </c>
      <c r="D45" s="57">
        <f>CENTRALA!D45</f>
        <v>94</v>
      </c>
      <c r="E45" s="56">
        <f t="shared" si="1"/>
        <v>582</v>
      </c>
      <c r="F45" s="57">
        <f>Dolnośląski!D45</f>
        <v>66</v>
      </c>
      <c r="G45" s="57">
        <f>KujawskoPomorski!D45</f>
        <v>26</v>
      </c>
      <c r="H45" s="57">
        <f>Lubelski!D45</f>
        <v>0</v>
      </c>
      <c r="I45" s="57">
        <f>Lubuski!D45</f>
        <v>0</v>
      </c>
      <c r="J45" s="57">
        <f>Łódzki!D45</f>
        <v>18</v>
      </c>
      <c r="K45" s="57">
        <f>Małopolski!D45</f>
        <v>54</v>
      </c>
      <c r="L45" s="57">
        <f>Mazowiecki!D45</f>
        <v>12</v>
      </c>
      <c r="M45" s="57">
        <f>Opolski!D45</f>
        <v>8</v>
      </c>
      <c r="N45" s="57">
        <f>Podkarpacki!D45</f>
        <v>13</v>
      </c>
      <c r="O45" s="57">
        <f>Podlaski!D45</f>
        <v>54</v>
      </c>
      <c r="P45" s="57">
        <f>Pomorski!D45</f>
        <v>36</v>
      </c>
      <c r="Q45" s="57">
        <f>Śląski!D45</f>
        <v>10</v>
      </c>
      <c r="R45" s="57">
        <f>Świętokrzyski!D45</f>
        <v>17</v>
      </c>
      <c r="S45" s="57">
        <f>WarmińskoMazurski!D45</f>
        <v>5</v>
      </c>
      <c r="T45" s="57">
        <f>Wielkopolski!D45</f>
        <v>240</v>
      </c>
      <c r="U45" s="57">
        <f>Zachodniopomorski!D45</f>
        <v>23</v>
      </c>
    </row>
    <row r="46" spans="1:21" ht="23.25" x14ac:dyDescent="0.2">
      <c r="A46" s="99" t="s">
        <v>42</v>
      </c>
      <c r="B46" s="90" t="s">
        <v>35</v>
      </c>
      <c r="C46" s="56">
        <f t="shared" si="0"/>
        <v>27</v>
      </c>
      <c r="D46" s="57">
        <f>CENTRALA!D46</f>
        <v>22</v>
      </c>
      <c r="E46" s="56">
        <f t="shared" si="1"/>
        <v>5</v>
      </c>
      <c r="F46" s="57">
        <f>Dolnośląski!D46</f>
        <v>1</v>
      </c>
      <c r="G46" s="57">
        <f>KujawskoPomorski!D46</f>
        <v>0</v>
      </c>
      <c r="H46" s="57">
        <f>Lubelski!D46</f>
        <v>0</v>
      </c>
      <c r="I46" s="57">
        <f>Lubuski!D46</f>
        <v>0</v>
      </c>
      <c r="J46" s="57">
        <f>Łódzki!D46</f>
        <v>0</v>
      </c>
      <c r="K46" s="57">
        <f>Małopolski!D46</f>
        <v>0</v>
      </c>
      <c r="L46" s="57">
        <f>Mazowiecki!D46</f>
        <v>0</v>
      </c>
      <c r="M46" s="57">
        <f>Opolski!D46</f>
        <v>0</v>
      </c>
      <c r="N46" s="57">
        <f>Podkarpacki!D46</f>
        <v>0</v>
      </c>
      <c r="O46" s="57">
        <f>Podlaski!D46</f>
        <v>0</v>
      </c>
      <c r="P46" s="57">
        <f>Pomorski!D46</f>
        <v>0</v>
      </c>
      <c r="Q46" s="57">
        <f>Śląski!D46</f>
        <v>4</v>
      </c>
      <c r="R46" s="57">
        <f>Świętokrzyski!D46</f>
        <v>0</v>
      </c>
      <c r="S46" s="57">
        <f>WarmińskoMazurski!D46</f>
        <v>0</v>
      </c>
      <c r="T46" s="57">
        <f>Wielkopolski!D46</f>
        <v>0</v>
      </c>
      <c r="U46" s="57">
        <f>Zachodniopomorski!D46</f>
        <v>0</v>
      </c>
    </row>
    <row r="47" spans="1:21" ht="23.25" x14ac:dyDescent="0.2">
      <c r="A47" s="99" t="s">
        <v>43</v>
      </c>
      <c r="B47" s="90" t="s">
        <v>36</v>
      </c>
      <c r="C47" s="56">
        <f t="shared" si="0"/>
        <v>0</v>
      </c>
      <c r="D47" s="57">
        <f>CENTRALA!D47</f>
        <v>0</v>
      </c>
      <c r="E47" s="56">
        <f t="shared" si="1"/>
        <v>0</v>
      </c>
      <c r="F47" s="57">
        <f>Dolnośląski!D47</f>
        <v>0</v>
      </c>
      <c r="G47" s="57">
        <f>KujawskoPomorski!D47</f>
        <v>0</v>
      </c>
      <c r="H47" s="57">
        <f>Lubelski!D47</f>
        <v>0</v>
      </c>
      <c r="I47" s="57">
        <f>Lubuski!D47</f>
        <v>0</v>
      </c>
      <c r="J47" s="57">
        <f>Łódzki!D47</f>
        <v>0</v>
      </c>
      <c r="K47" s="57">
        <f>Małopolski!D47</f>
        <v>0</v>
      </c>
      <c r="L47" s="57">
        <f>Mazowiecki!D47</f>
        <v>0</v>
      </c>
      <c r="M47" s="57">
        <f>Opolski!D47</f>
        <v>0</v>
      </c>
      <c r="N47" s="57">
        <f>Podkarpacki!D47</f>
        <v>0</v>
      </c>
      <c r="O47" s="57">
        <f>Podlaski!D47</f>
        <v>0</v>
      </c>
      <c r="P47" s="57">
        <f>Pomorski!D47</f>
        <v>0</v>
      </c>
      <c r="Q47" s="57">
        <f>Śląski!D47</f>
        <v>0</v>
      </c>
      <c r="R47" s="57">
        <f>Świętokrzyski!D47</f>
        <v>0</v>
      </c>
      <c r="S47" s="57">
        <f>WarmińskoMazurski!D47</f>
        <v>0</v>
      </c>
      <c r="T47" s="57">
        <f>Wielkopolski!D47</f>
        <v>0</v>
      </c>
      <c r="U47" s="57">
        <f>Zachodniopomorski!D47</f>
        <v>0</v>
      </c>
    </row>
    <row r="48" spans="1:21" ht="23.25" x14ac:dyDescent="0.2">
      <c r="A48" s="99" t="s">
        <v>44</v>
      </c>
      <c r="B48" s="90" t="s">
        <v>37</v>
      </c>
      <c r="C48" s="56">
        <f t="shared" si="0"/>
        <v>2960</v>
      </c>
      <c r="D48" s="57">
        <f>CENTRALA!D48</f>
        <v>382</v>
      </c>
      <c r="E48" s="56">
        <f t="shared" si="1"/>
        <v>2578</v>
      </c>
      <c r="F48" s="57">
        <f>Dolnośląski!D48</f>
        <v>228</v>
      </c>
      <c r="G48" s="57">
        <f>KujawskoPomorski!D48</f>
        <v>167</v>
      </c>
      <c r="H48" s="57">
        <f>Lubelski!D48</f>
        <v>220</v>
      </c>
      <c r="I48" s="57">
        <f>Lubuski!D48</f>
        <v>40</v>
      </c>
      <c r="J48" s="57">
        <f>Łódzki!D48</f>
        <v>221</v>
      </c>
      <c r="K48" s="57">
        <f>Małopolski!D48</f>
        <v>152</v>
      </c>
      <c r="L48" s="57">
        <f>Mazowiecki!D48</f>
        <v>198</v>
      </c>
      <c r="M48" s="57">
        <f>Opolski!D48</f>
        <v>152</v>
      </c>
      <c r="N48" s="57">
        <f>Podkarpacki!D48</f>
        <v>43</v>
      </c>
      <c r="O48" s="57">
        <f>Podlaski!D48</f>
        <v>167</v>
      </c>
      <c r="P48" s="57">
        <f>Pomorski!D48</f>
        <v>33</v>
      </c>
      <c r="Q48" s="57">
        <f>Śląski!D48</f>
        <v>450</v>
      </c>
      <c r="R48" s="57">
        <f>Świętokrzyski!D48</f>
        <v>20</v>
      </c>
      <c r="S48" s="57">
        <f>WarmińskoMazurski!D48</f>
        <v>94</v>
      </c>
      <c r="T48" s="57">
        <f>Wielkopolski!D48</f>
        <v>256</v>
      </c>
      <c r="U48" s="57">
        <f>Zachodniopomorski!D48</f>
        <v>137</v>
      </c>
    </row>
    <row r="49" spans="1:21" ht="23.25" x14ac:dyDescent="0.2">
      <c r="A49" s="99" t="s">
        <v>45</v>
      </c>
      <c r="B49" s="90" t="s">
        <v>38</v>
      </c>
      <c r="C49" s="56">
        <f t="shared" si="0"/>
        <v>388</v>
      </c>
      <c r="D49" s="57">
        <f>CENTRALA!D49</f>
        <v>115</v>
      </c>
      <c r="E49" s="56">
        <f t="shared" si="1"/>
        <v>273</v>
      </c>
      <c r="F49" s="57">
        <f>Dolnośląski!D49</f>
        <v>2</v>
      </c>
      <c r="G49" s="57">
        <f>KujawskoPomorski!D49</f>
        <v>10</v>
      </c>
      <c r="H49" s="57">
        <f>Lubelski!D49</f>
        <v>14</v>
      </c>
      <c r="I49" s="57">
        <f>Lubuski!D49</f>
        <v>23</v>
      </c>
      <c r="J49" s="57">
        <f>Łódzki!D49</f>
        <v>4</v>
      </c>
      <c r="K49" s="57">
        <f>Małopolski!D49</f>
        <v>60</v>
      </c>
      <c r="L49" s="57">
        <f>Mazowiecki!D49</f>
        <v>3</v>
      </c>
      <c r="M49" s="57">
        <f>Opolski!D49</f>
        <v>6</v>
      </c>
      <c r="N49" s="57">
        <f>Podkarpacki!D49</f>
        <v>36</v>
      </c>
      <c r="O49" s="57">
        <f>Podlaski!D49</f>
        <v>6</v>
      </c>
      <c r="P49" s="57">
        <f>Pomorski!D49</f>
        <v>22</v>
      </c>
      <c r="Q49" s="57">
        <f>Śląski!D49</f>
        <v>21</v>
      </c>
      <c r="R49" s="57">
        <f>Świętokrzyski!D49</f>
        <v>17</v>
      </c>
      <c r="S49" s="57">
        <f>WarmińskoMazurski!D49</f>
        <v>3</v>
      </c>
      <c r="T49" s="57">
        <f>Wielkopolski!D49</f>
        <v>6</v>
      </c>
      <c r="U49" s="57">
        <f>Zachodniopomorski!D49</f>
        <v>40</v>
      </c>
    </row>
    <row r="50" spans="1:21" ht="27.75" customHeight="1" x14ac:dyDescent="0.2">
      <c r="A50" s="96" t="s">
        <v>22</v>
      </c>
      <c r="B50" s="20" t="s">
        <v>159</v>
      </c>
      <c r="C50" s="56">
        <f t="shared" si="0"/>
        <v>340895</v>
      </c>
      <c r="D50" s="57">
        <f>CENTRALA!D50</f>
        <v>37762</v>
      </c>
      <c r="E50" s="56">
        <f t="shared" si="1"/>
        <v>303133</v>
      </c>
      <c r="F50" s="57">
        <f>Dolnośląski!D50</f>
        <v>21910</v>
      </c>
      <c r="G50" s="57">
        <f>KujawskoPomorski!D50</f>
        <v>15346</v>
      </c>
      <c r="H50" s="57">
        <f>Lubelski!D50</f>
        <v>16033</v>
      </c>
      <c r="I50" s="57">
        <f>Lubuski!D50</f>
        <v>9106</v>
      </c>
      <c r="J50" s="57">
        <f>Łódzki!D50</f>
        <v>18720</v>
      </c>
      <c r="K50" s="57">
        <f>Małopolski!D50</f>
        <v>23718</v>
      </c>
      <c r="L50" s="57">
        <f>Mazowiecki!D50</f>
        <v>43485</v>
      </c>
      <c r="M50" s="57">
        <f>Opolski!D50</f>
        <v>9284</v>
      </c>
      <c r="N50" s="57">
        <f>Podkarpacki!D50</f>
        <v>14538</v>
      </c>
      <c r="O50" s="57">
        <f>Podlaski!D50</f>
        <v>10289</v>
      </c>
      <c r="P50" s="57">
        <f>Pomorski!D50</f>
        <v>19778</v>
      </c>
      <c r="Q50" s="57">
        <f>Śląski!D50</f>
        <v>39940</v>
      </c>
      <c r="R50" s="57">
        <f>Świętokrzyski!D50</f>
        <v>11169</v>
      </c>
      <c r="S50" s="57">
        <f>WarmińskoMazurski!D50</f>
        <v>11662</v>
      </c>
      <c r="T50" s="57">
        <f>Wielkopolski!D50</f>
        <v>24414</v>
      </c>
      <c r="U50" s="57">
        <f>Zachodniopomorski!D50</f>
        <v>13741</v>
      </c>
    </row>
    <row r="51" spans="1:21" ht="23.25" x14ac:dyDescent="0.2">
      <c r="A51" s="99" t="s">
        <v>160</v>
      </c>
      <c r="B51" s="90" t="s">
        <v>161</v>
      </c>
      <c r="C51" s="56">
        <f t="shared" si="0"/>
        <v>1471</v>
      </c>
      <c r="D51" s="57">
        <f>CENTRALA!D51</f>
        <v>353</v>
      </c>
      <c r="E51" s="56">
        <f t="shared" si="1"/>
        <v>1118</v>
      </c>
      <c r="F51" s="57">
        <f>Dolnośląski!D51</f>
        <v>100</v>
      </c>
      <c r="G51" s="57">
        <f>KujawskoPomorski!D51</f>
        <v>0</v>
      </c>
      <c r="H51" s="57">
        <f>Lubelski!D51</f>
        <v>144</v>
      </c>
      <c r="I51" s="57">
        <f>Lubuski!D51</f>
        <v>43</v>
      </c>
      <c r="J51" s="57">
        <f>Łódzki!D51</f>
        <v>90</v>
      </c>
      <c r="K51" s="57">
        <f>Małopolski!D51</f>
        <v>24</v>
      </c>
      <c r="L51" s="57">
        <f>Mazowiecki!D51</f>
        <v>71</v>
      </c>
      <c r="M51" s="57">
        <f>Opolski!D51</f>
        <v>41</v>
      </c>
      <c r="N51" s="57">
        <f>Podkarpacki!D51</f>
        <v>10</v>
      </c>
      <c r="O51" s="57">
        <f>Podlaski!D51</f>
        <v>0</v>
      </c>
      <c r="P51" s="57">
        <f>Pomorski!D51</f>
        <v>100</v>
      </c>
      <c r="Q51" s="57">
        <f>Śląski!D51</f>
        <v>250</v>
      </c>
      <c r="R51" s="57">
        <f>Świętokrzyski!D51</f>
        <v>35</v>
      </c>
      <c r="S51" s="57">
        <f>WarmińskoMazurski!D51</f>
        <v>30</v>
      </c>
      <c r="T51" s="57">
        <f>Wielkopolski!D51</f>
        <v>123</v>
      </c>
      <c r="U51" s="57">
        <f>Zachodniopomorski!D51</f>
        <v>57</v>
      </c>
    </row>
    <row r="52" spans="1:21" ht="27.75" customHeight="1" x14ac:dyDescent="0.2">
      <c r="A52" s="96" t="s">
        <v>23</v>
      </c>
      <c r="B52" s="21" t="s">
        <v>227</v>
      </c>
      <c r="C52" s="56">
        <f t="shared" si="0"/>
        <v>77538</v>
      </c>
      <c r="D52" s="57">
        <f>CENTRALA!D52</f>
        <v>9370</v>
      </c>
      <c r="E52" s="56">
        <f t="shared" si="1"/>
        <v>68168</v>
      </c>
      <c r="F52" s="57">
        <f>Dolnośląski!D52</f>
        <v>4925</v>
      </c>
      <c r="G52" s="57">
        <f>KujawskoPomorski!D52</f>
        <v>3453</v>
      </c>
      <c r="H52" s="57">
        <f>Lubelski!D52</f>
        <v>3604</v>
      </c>
      <c r="I52" s="57">
        <f>Lubuski!D52</f>
        <v>2062</v>
      </c>
      <c r="J52" s="57">
        <f>Łódzki!D52</f>
        <v>4207</v>
      </c>
      <c r="K52" s="57">
        <f>Małopolski!D52</f>
        <v>5335</v>
      </c>
      <c r="L52" s="57">
        <f>Mazowiecki!D52</f>
        <v>9749</v>
      </c>
      <c r="M52" s="57">
        <f>Opolski!D52</f>
        <v>2085</v>
      </c>
      <c r="N52" s="57">
        <f>Podkarpacki!D52</f>
        <v>3268</v>
      </c>
      <c r="O52" s="57">
        <f>Podlaski!D52</f>
        <v>2317</v>
      </c>
      <c r="P52" s="57">
        <f>Pomorski!D52</f>
        <v>4488</v>
      </c>
      <c r="Q52" s="57">
        <f>Śląski!D52</f>
        <v>8969</v>
      </c>
      <c r="R52" s="57">
        <f>Świętokrzyski!D52</f>
        <v>2514</v>
      </c>
      <c r="S52" s="57">
        <f>WarmińskoMazurski!D52</f>
        <v>2617</v>
      </c>
      <c r="T52" s="57">
        <f>Wielkopolski!D52</f>
        <v>5481</v>
      </c>
      <c r="U52" s="57">
        <f>Zachodniopomorski!D52</f>
        <v>3094</v>
      </c>
    </row>
    <row r="53" spans="1:21" ht="23.25" x14ac:dyDescent="0.2">
      <c r="A53" s="99" t="s">
        <v>50</v>
      </c>
      <c r="B53" s="90" t="s">
        <v>46</v>
      </c>
      <c r="C53" s="56">
        <f t="shared" si="0"/>
        <v>58360</v>
      </c>
      <c r="D53" s="57">
        <f>CENTRALA!D53</f>
        <v>6494</v>
      </c>
      <c r="E53" s="56">
        <f t="shared" si="1"/>
        <v>51866</v>
      </c>
      <c r="F53" s="57">
        <f>Dolnośląski!D53</f>
        <v>3659</v>
      </c>
      <c r="G53" s="57">
        <f>KujawskoPomorski!D53</f>
        <v>2576</v>
      </c>
      <c r="H53" s="57">
        <f>Lubelski!D53</f>
        <v>2753</v>
      </c>
      <c r="I53" s="57">
        <f>Lubuski!D53</f>
        <v>1562</v>
      </c>
      <c r="J53" s="57">
        <f>Łódzki!D53</f>
        <v>3213</v>
      </c>
      <c r="K53" s="57">
        <f>Małopolski!D53</f>
        <v>4069</v>
      </c>
      <c r="L53" s="57">
        <f>Mazowiecki!D53</f>
        <v>7463</v>
      </c>
      <c r="M53" s="57">
        <f>Opolski!D53</f>
        <v>1592</v>
      </c>
      <c r="N53" s="57">
        <f>Podkarpacki!D53</f>
        <v>2493</v>
      </c>
      <c r="O53" s="57">
        <f>Podlaski!D53</f>
        <v>1764</v>
      </c>
      <c r="P53" s="57">
        <f>Pomorski!D53</f>
        <v>3394</v>
      </c>
      <c r="Q53" s="57">
        <f>Śląski!D53</f>
        <v>6858</v>
      </c>
      <c r="R53" s="57">
        <f>Świętokrzyski!D53</f>
        <v>1917</v>
      </c>
      <c r="S53" s="57">
        <f>WarmińskoMazurski!D53</f>
        <v>2003</v>
      </c>
      <c r="T53" s="57">
        <f>Wielkopolski!D53</f>
        <v>4191</v>
      </c>
      <c r="U53" s="57">
        <f>Zachodniopomorski!D53</f>
        <v>2359</v>
      </c>
    </row>
    <row r="54" spans="1:21" ht="23.25" x14ac:dyDescent="0.2">
      <c r="A54" s="99" t="s">
        <v>51</v>
      </c>
      <c r="B54" s="90" t="s">
        <v>47</v>
      </c>
      <c r="C54" s="56">
        <f t="shared" si="0"/>
        <v>8178</v>
      </c>
      <c r="D54" s="57">
        <f>CENTRALA!D54</f>
        <v>926</v>
      </c>
      <c r="E54" s="56">
        <f t="shared" si="1"/>
        <v>7252</v>
      </c>
      <c r="F54" s="57">
        <f>Dolnośląski!D54</f>
        <v>441</v>
      </c>
      <c r="G54" s="57">
        <f>KujawskoPomorski!D54</f>
        <v>297</v>
      </c>
      <c r="H54" s="57">
        <f>Lubelski!D54</f>
        <v>393</v>
      </c>
      <c r="I54" s="57">
        <f>Lubuski!D54</f>
        <v>222</v>
      </c>
      <c r="J54" s="57">
        <f>Łódzki!D54</f>
        <v>459</v>
      </c>
      <c r="K54" s="57">
        <f>Małopolski!D54</f>
        <v>583</v>
      </c>
      <c r="L54" s="57">
        <f>Mazowiecki!D54</f>
        <v>1065</v>
      </c>
      <c r="M54" s="57">
        <f>Opolski!D54</f>
        <v>227</v>
      </c>
      <c r="N54" s="57">
        <f>Podkarpacki!D54</f>
        <v>356</v>
      </c>
      <c r="O54" s="57">
        <f>Podlaski!D54</f>
        <v>252</v>
      </c>
      <c r="P54" s="57">
        <f>Pomorski!D54</f>
        <v>485</v>
      </c>
      <c r="Q54" s="57">
        <f>Śląski!D54</f>
        <v>979</v>
      </c>
      <c r="R54" s="57">
        <f>Świętokrzyski!D54</f>
        <v>274</v>
      </c>
      <c r="S54" s="57">
        <f>WarmińskoMazurski!D54</f>
        <v>285</v>
      </c>
      <c r="T54" s="57">
        <f>Wielkopolski!D54</f>
        <v>597</v>
      </c>
      <c r="U54" s="57">
        <f>Zachodniopomorski!D54</f>
        <v>337</v>
      </c>
    </row>
    <row r="55" spans="1:21" ht="23.25" x14ac:dyDescent="0.2">
      <c r="A55" s="99" t="s">
        <v>52</v>
      </c>
      <c r="B55" s="90" t="s">
        <v>48</v>
      </c>
      <c r="C55" s="56">
        <f t="shared" si="0"/>
        <v>0</v>
      </c>
      <c r="D55" s="57">
        <f>CENTRALA!D55</f>
        <v>0</v>
      </c>
      <c r="E55" s="56">
        <f t="shared" si="1"/>
        <v>0</v>
      </c>
      <c r="F55" s="57">
        <f>Dolnośląski!D55</f>
        <v>0</v>
      </c>
      <c r="G55" s="57">
        <f>KujawskoPomorski!D55</f>
        <v>0</v>
      </c>
      <c r="H55" s="57">
        <f>Lubelski!D55</f>
        <v>0</v>
      </c>
      <c r="I55" s="57">
        <f>Lubuski!D55</f>
        <v>0</v>
      </c>
      <c r="J55" s="57">
        <f>Łódzki!D55</f>
        <v>0</v>
      </c>
      <c r="K55" s="57">
        <f>Małopolski!D55</f>
        <v>0</v>
      </c>
      <c r="L55" s="57">
        <f>Mazowiecki!D55</f>
        <v>0</v>
      </c>
      <c r="M55" s="57">
        <f>Opolski!D55</f>
        <v>0</v>
      </c>
      <c r="N55" s="57">
        <f>Podkarpacki!D55</f>
        <v>0</v>
      </c>
      <c r="O55" s="57">
        <f>Podlaski!D55</f>
        <v>0</v>
      </c>
      <c r="P55" s="57">
        <f>Pomorski!D55</f>
        <v>0</v>
      </c>
      <c r="Q55" s="57">
        <f>Śląski!D55</f>
        <v>0</v>
      </c>
      <c r="R55" s="57">
        <f>Świętokrzyski!D55</f>
        <v>0</v>
      </c>
      <c r="S55" s="57">
        <f>WarmińskoMazurski!D55</f>
        <v>0</v>
      </c>
      <c r="T55" s="57">
        <f>Wielkopolski!D55</f>
        <v>0</v>
      </c>
      <c r="U55" s="57">
        <f>Zachodniopomorski!D55</f>
        <v>0</v>
      </c>
    </row>
    <row r="56" spans="1:21" ht="23.25" x14ac:dyDescent="0.2">
      <c r="A56" s="99" t="s">
        <v>53</v>
      </c>
      <c r="B56" s="90" t="s">
        <v>49</v>
      </c>
      <c r="C56" s="56">
        <f t="shared" si="0"/>
        <v>11000</v>
      </c>
      <c r="D56" s="57">
        <f>CENTRALA!D56</f>
        <v>1950</v>
      </c>
      <c r="E56" s="56">
        <f t="shared" si="1"/>
        <v>9050</v>
      </c>
      <c r="F56" s="57">
        <f>Dolnośląski!D56</f>
        <v>825</v>
      </c>
      <c r="G56" s="57">
        <f>KujawskoPomorski!D56</f>
        <v>580</v>
      </c>
      <c r="H56" s="57">
        <f>Lubelski!D56</f>
        <v>458</v>
      </c>
      <c r="I56" s="57">
        <f>Lubuski!D56</f>
        <v>278</v>
      </c>
      <c r="J56" s="57">
        <f>Łódzki!D56</f>
        <v>535</v>
      </c>
      <c r="K56" s="57">
        <f>Małopolski!D56</f>
        <v>683</v>
      </c>
      <c r="L56" s="57">
        <f>Mazowiecki!D56</f>
        <v>1221</v>
      </c>
      <c r="M56" s="57">
        <f>Opolski!D56</f>
        <v>266</v>
      </c>
      <c r="N56" s="57">
        <f>Podkarpacki!D56</f>
        <v>419</v>
      </c>
      <c r="O56" s="57">
        <f>Podlaski!D56</f>
        <v>301</v>
      </c>
      <c r="P56" s="57">
        <f>Pomorski!D56</f>
        <v>609</v>
      </c>
      <c r="Q56" s="57">
        <f>Śląski!D56</f>
        <v>1132</v>
      </c>
      <c r="R56" s="57">
        <f>Świętokrzyski!D56</f>
        <v>323</v>
      </c>
      <c r="S56" s="57">
        <f>WarmińskoMazurski!D56</f>
        <v>329</v>
      </c>
      <c r="T56" s="57">
        <f>Wielkopolski!D56</f>
        <v>693</v>
      </c>
      <c r="U56" s="57">
        <f>Zachodniopomorski!D56</f>
        <v>398</v>
      </c>
    </row>
    <row r="57" spans="1:21" ht="27.75" customHeight="1" x14ac:dyDescent="0.2">
      <c r="A57" s="96" t="s">
        <v>24</v>
      </c>
      <c r="B57" s="20" t="s">
        <v>25</v>
      </c>
      <c r="C57" s="56">
        <f t="shared" si="0"/>
        <v>50</v>
      </c>
      <c r="D57" s="57">
        <f>CENTRALA!D57</f>
        <v>50</v>
      </c>
      <c r="E57" s="56">
        <f t="shared" si="1"/>
        <v>0</v>
      </c>
      <c r="F57" s="57">
        <f>Dolnośląski!D57</f>
        <v>0</v>
      </c>
      <c r="G57" s="57">
        <f>KujawskoPomorski!D57</f>
        <v>0</v>
      </c>
      <c r="H57" s="57">
        <f>Lubelski!D57</f>
        <v>0</v>
      </c>
      <c r="I57" s="57">
        <f>Lubuski!D57</f>
        <v>0</v>
      </c>
      <c r="J57" s="57">
        <f>Łódzki!D57</f>
        <v>0</v>
      </c>
      <c r="K57" s="57">
        <f>Małopolski!D57</f>
        <v>0</v>
      </c>
      <c r="L57" s="57">
        <f>Mazowiecki!D57</f>
        <v>0</v>
      </c>
      <c r="M57" s="57">
        <f>Opolski!D57</f>
        <v>0</v>
      </c>
      <c r="N57" s="57">
        <f>Podkarpacki!D57</f>
        <v>0</v>
      </c>
      <c r="O57" s="57">
        <f>Podlaski!D57</f>
        <v>0</v>
      </c>
      <c r="P57" s="57">
        <f>Pomorski!D57</f>
        <v>0</v>
      </c>
      <c r="Q57" s="57">
        <f>Śląski!D57</f>
        <v>0</v>
      </c>
      <c r="R57" s="57">
        <f>Świętokrzyski!D57</f>
        <v>0</v>
      </c>
      <c r="S57" s="57">
        <f>WarmińskoMazurski!D57</f>
        <v>0</v>
      </c>
      <c r="T57" s="57">
        <f>Wielkopolski!D57</f>
        <v>0</v>
      </c>
      <c r="U57" s="57">
        <f>Zachodniopomorski!D57</f>
        <v>0</v>
      </c>
    </row>
    <row r="58" spans="1:21" ht="51.75" customHeight="1" x14ac:dyDescent="0.2">
      <c r="A58" s="96" t="s">
        <v>26</v>
      </c>
      <c r="B58" s="20" t="s">
        <v>162</v>
      </c>
      <c r="C58" s="56">
        <f t="shared" si="0"/>
        <v>112067</v>
      </c>
      <c r="D58" s="57">
        <f>CENTRALA!D58</f>
        <v>64785</v>
      </c>
      <c r="E58" s="56">
        <f>SUM(F58:U58)</f>
        <v>47282</v>
      </c>
      <c r="F58" s="57">
        <f>Dolnośląski!D58</f>
        <v>3232</v>
      </c>
      <c r="G58" s="57">
        <f>KujawskoPomorski!D58</f>
        <v>5025</v>
      </c>
      <c r="H58" s="57">
        <f>Lubelski!D58</f>
        <v>1630</v>
      </c>
      <c r="I58" s="57">
        <f>Lubuski!D58</f>
        <v>3000</v>
      </c>
      <c r="J58" s="57">
        <f>Łódzki!D58</f>
        <v>1630</v>
      </c>
      <c r="K58" s="57">
        <f>Małopolski!D58</f>
        <v>5300</v>
      </c>
      <c r="L58" s="57">
        <f>Mazowiecki!D58</f>
        <v>1837</v>
      </c>
      <c r="M58" s="57">
        <f>Opolski!D58</f>
        <v>1435</v>
      </c>
      <c r="N58" s="57">
        <f>Podkarpacki!D58</f>
        <v>3500</v>
      </c>
      <c r="O58" s="57">
        <f>Podlaski!D58</f>
        <v>3088</v>
      </c>
      <c r="P58" s="57">
        <f>Pomorski!D58</f>
        <v>3600</v>
      </c>
      <c r="Q58" s="57">
        <f>Śląski!D58</f>
        <v>5444</v>
      </c>
      <c r="R58" s="57">
        <f>Świętokrzyski!D58</f>
        <v>600</v>
      </c>
      <c r="S58" s="57">
        <f>WarmińskoMazurski!D58</f>
        <v>1980</v>
      </c>
      <c r="T58" s="57">
        <f>Wielkopolski!D58</f>
        <v>4000</v>
      </c>
      <c r="U58" s="57">
        <f>Zachodniopomorski!D58</f>
        <v>1981</v>
      </c>
    </row>
    <row r="59" spans="1:21" ht="27.75" customHeight="1" x14ac:dyDescent="0.2">
      <c r="A59" s="96" t="s">
        <v>27</v>
      </c>
      <c r="B59" s="20" t="s">
        <v>28</v>
      </c>
      <c r="C59" s="56">
        <f t="shared" si="0"/>
        <v>6303</v>
      </c>
      <c r="D59" s="57">
        <f>CENTRALA!D59</f>
        <v>1909</v>
      </c>
      <c r="E59" s="56">
        <f t="shared" si="1"/>
        <v>4394</v>
      </c>
      <c r="F59" s="57">
        <f>Dolnośląski!D59</f>
        <v>195</v>
      </c>
      <c r="G59" s="57">
        <f>KujawskoPomorski!D59</f>
        <v>298</v>
      </c>
      <c r="H59" s="57">
        <f>Lubelski!D59</f>
        <v>375</v>
      </c>
      <c r="I59" s="57">
        <f>Lubuski!D59</f>
        <v>307</v>
      </c>
      <c r="J59" s="57">
        <f>Łódzki!D59</f>
        <v>290</v>
      </c>
      <c r="K59" s="57">
        <f>Małopolski!D59</f>
        <v>309</v>
      </c>
      <c r="L59" s="57">
        <f>Mazowiecki!D59</f>
        <v>395</v>
      </c>
      <c r="M59" s="57">
        <f>Opolski!D59</f>
        <v>185</v>
      </c>
      <c r="N59" s="57">
        <f>Podkarpacki!D59</f>
        <v>267</v>
      </c>
      <c r="O59" s="57">
        <f>Podlaski!D59</f>
        <v>215</v>
      </c>
      <c r="P59" s="57">
        <f>Pomorski!D59</f>
        <v>245</v>
      </c>
      <c r="Q59" s="57">
        <f>Śląski!D59</f>
        <v>302</v>
      </c>
      <c r="R59" s="57">
        <f>Świętokrzyski!D59</f>
        <v>181</v>
      </c>
      <c r="S59" s="57">
        <f>WarmińskoMazurski!D59</f>
        <v>165</v>
      </c>
      <c r="T59" s="57">
        <f>Wielkopolski!D59</f>
        <v>518</v>
      </c>
      <c r="U59" s="57">
        <f>Zachodniopomorski!D59</f>
        <v>147</v>
      </c>
    </row>
    <row r="60" spans="1:21" ht="30" customHeight="1" x14ac:dyDescent="0.2">
      <c r="A60" s="100" t="s">
        <v>29</v>
      </c>
      <c r="B60" s="22" t="s">
        <v>163</v>
      </c>
      <c r="C60" s="66">
        <f t="shared" si="0"/>
        <v>233676</v>
      </c>
      <c r="D60" s="66">
        <f>CENTRALA!D60</f>
        <v>7555</v>
      </c>
      <c r="E60" s="66">
        <f>SUM(F60:U60)</f>
        <v>226121</v>
      </c>
      <c r="F60" s="66">
        <f>Dolnośląski!D60</f>
        <v>16705</v>
      </c>
      <c r="G60" s="66">
        <f>KujawskoPomorski!D60</f>
        <v>45501</v>
      </c>
      <c r="H60" s="66">
        <f>Lubelski!D60</f>
        <v>41705</v>
      </c>
      <c r="I60" s="66">
        <f>Lubuski!D60</f>
        <v>4590</v>
      </c>
      <c r="J60" s="66">
        <f>Łódzki!D60</f>
        <v>17000</v>
      </c>
      <c r="K60" s="66">
        <f>Małopolski!D60</f>
        <v>19360</v>
      </c>
      <c r="L60" s="66">
        <f>Mazowiecki!D60</f>
        <v>21960</v>
      </c>
      <c r="M60" s="66">
        <f>Opolski!D60</f>
        <v>7720</v>
      </c>
      <c r="N60" s="66">
        <f>Podkarpacki!D60</f>
        <v>4000</v>
      </c>
      <c r="O60" s="66">
        <f>Podlaski!D60</f>
        <v>2289</v>
      </c>
      <c r="P60" s="66">
        <f>Pomorski!D60</f>
        <v>8332</v>
      </c>
      <c r="Q60" s="66">
        <f>Śląski!D60</f>
        <v>2968</v>
      </c>
      <c r="R60" s="66">
        <f>Świętokrzyski!D60</f>
        <v>10839</v>
      </c>
      <c r="S60" s="66">
        <f>WarmińskoMazurski!D60</f>
        <v>946</v>
      </c>
      <c r="T60" s="66">
        <f>Wielkopolski!D60</f>
        <v>21250</v>
      </c>
      <c r="U60" s="66">
        <f>Zachodniopomorski!D60</f>
        <v>956</v>
      </c>
    </row>
    <row r="61" spans="1:21" ht="40.5" x14ac:dyDescent="0.2">
      <c r="A61" s="96" t="s">
        <v>101</v>
      </c>
      <c r="B61" s="20" t="s">
        <v>115</v>
      </c>
      <c r="C61" s="56">
        <f t="shared" si="0"/>
        <v>1269</v>
      </c>
      <c r="D61" s="57">
        <f>CENTRALA!D61</f>
        <v>875</v>
      </c>
      <c r="E61" s="56">
        <f t="shared" si="1"/>
        <v>394</v>
      </c>
      <c r="F61" s="57">
        <f>Dolnośląski!D61</f>
        <v>0</v>
      </c>
      <c r="G61" s="57">
        <f>KujawskoPomorski!D61</f>
        <v>0</v>
      </c>
      <c r="H61" s="57">
        <f>Lubelski!D61</f>
        <v>5</v>
      </c>
      <c r="I61" s="57">
        <f>Lubuski!D61</f>
        <v>0</v>
      </c>
      <c r="J61" s="57">
        <f>Łódzki!D61</f>
        <v>0</v>
      </c>
      <c r="K61" s="57">
        <f>Małopolski!D61</f>
        <v>0</v>
      </c>
      <c r="L61" s="57">
        <f>Mazowiecki!D61</f>
        <v>0</v>
      </c>
      <c r="M61" s="57">
        <f>Opolski!D61</f>
        <v>0</v>
      </c>
      <c r="N61" s="57">
        <f>Podkarpacki!D61</f>
        <v>0</v>
      </c>
      <c r="O61" s="57">
        <f>Podlaski!D61</f>
        <v>0</v>
      </c>
      <c r="P61" s="57">
        <f>Pomorski!D61</f>
        <v>59</v>
      </c>
      <c r="Q61" s="57">
        <f>Śląski!D61</f>
        <v>280</v>
      </c>
      <c r="R61" s="57">
        <f>Świętokrzyski!D61</f>
        <v>0</v>
      </c>
      <c r="S61" s="57">
        <f>WarmińskoMazurski!D61</f>
        <v>0</v>
      </c>
      <c r="T61" s="57">
        <f>Wielkopolski!D61</f>
        <v>50</v>
      </c>
      <c r="U61" s="57">
        <f>Zachodniopomorski!D61</f>
        <v>0</v>
      </c>
    </row>
    <row r="62" spans="1:21" ht="30" customHeight="1" x14ac:dyDescent="0.2">
      <c r="A62" s="96" t="s">
        <v>30</v>
      </c>
      <c r="B62" s="20" t="s">
        <v>55</v>
      </c>
      <c r="C62" s="56">
        <f t="shared" si="0"/>
        <v>192338</v>
      </c>
      <c r="D62" s="57">
        <f>CENTRALA!D62</f>
        <v>1180</v>
      </c>
      <c r="E62" s="56">
        <f t="shared" si="1"/>
        <v>191158</v>
      </c>
      <c r="F62" s="57">
        <f>Dolnośląski!D62</f>
        <v>15045</v>
      </c>
      <c r="G62" s="57">
        <f>KujawskoPomorski!D62</f>
        <v>38601</v>
      </c>
      <c r="H62" s="57">
        <f>Lubelski!D62</f>
        <v>40500</v>
      </c>
      <c r="I62" s="57">
        <f>Lubuski!D62</f>
        <v>3730</v>
      </c>
      <c r="J62" s="57">
        <f>Łódzki!D62</f>
        <v>15000</v>
      </c>
      <c r="K62" s="57">
        <f>Małopolski!D62</f>
        <v>16095</v>
      </c>
      <c r="L62" s="57">
        <f>Mazowiecki!D62</f>
        <v>13828</v>
      </c>
      <c r="M62" s="57">
        <f>Opolski!D62</f>
        <v>5700</v>
      </c>
      <c r="N62" s="57">
        <f>Podkarpacki!D62</f>
        <v>3000</v>
      </c>
      <c r="O62" s="57">
        <f>Podlaski!D62</f>
        <v>1110</v>
      </c>
      <c r="P62" s="57">
        <f>Pomorski!D62</f>
        <v>6273</v>
      </c>
      <c r="Q62" s="57">
        <f>Śląski!D62</f>
        <v>1828</v>
      </c>
      <c r="R62" s="57">
        <f>Świętokrzyski!D62</f>
        <v>10239</v>
      </c>
      <c r="S62" s="57">
        <f>WarmińskoMazurski!D62</f>
        <v>209</v>
      </c>
      <c r="T62" s="57">
        <f>Wielkopolski!D62</f>
        <v>20000</v>
      </c>
      <c r="U62" s="57">
        <f>Zachodniopomorski!D62</f>
        <v>0</v>
      </c>
    </row>
    <row r="63" spans="1:21" ht="30" customHeight="1" x14ac:dyDescent="0.2">
      <c r="A63" s="96" t="s">
        <v>31</v>
      </c>
      <c r="B63" s="20" t="s">
        <v>103</v>
      </c>
      <c r="C63" s="56">
        <f t="shared" si="0"/>
        <v>0</v>
      </c>
      <c r="D63" s="57">
        <f>CENTRALA!D63</f>
        <v>0</v>
      </c>
      <c r="E63" s="56">
        <f t="shared" si="1"/>
        <v>0</v>
      </c>
      <c r="F63" s="57">
        <f>Dolnośląski!D63</f>
        <v>0</v>
      </c>
      <c r="G63" s="57">
        <f>KujawskoPomorski!D63</f>
        <v>0</v>
      </c>
      <c r="H63" s="57">
        <f>Lubelski!D63</f>
        <v>0</v>
      </c>
      <c r="I63" s="57">
        <f>Lubuski!D63</f>
        <v>0</v>
      </c>
      <c r="J63" s="57">
        <f>Łódzki!D63</f>
        <v>0</v>
      </c>
      <c r="K63" s="57">
        <f>Małopolski!D63</f>
        <v>0</v>
      </c>
      <c r="L63" s="57">
        <f>Mazowiecki!D63</f>
        <v>0</v>
      </c>
      <c r="M63" s="57">
        <f>Opolski!D63</f>
        <v>0</v>
      </c>
      <c r="N63" s="57">
        <f>Podkarpacki!D63</f>
        <v>0</v>
      </c>
      <c r="O63" s="57">
        <f>Podlaski!D63</f>
        <v>0</v>
      </c>
      <c r="P63" s="57">
        <f>Pomorski!D63</f>
        <v>0</v>
      </c>
      <c r="Q63" s="57">
        <f>Śląski!D63</f>
        <v>0</v>
      </c>
      <c r="R63" s="57">
        <f>Świętokrzyski!D63</f>
        <v>0</v>
      </c>
      <c r="S63" s="57">
        <f>WarmińskoMazurski!D63</f>
        <v>0</v>
      </c>
      <c r="T63" s="57">
        <f>Wielkopolski!D63</f>
        <v>0</v>
      </c>
      <c r="U63" s="57">
        <f>Zachodniopomorski!D63</f>
        <v>0</v>
      </c>
    </row>
    <row r="64" spans="1:21" ht="30" customHeight="1" x14ac:dyDescent="0.2">
      <c r="A64" s="96" t="s">
        <v>102</v>
      </c>
      <c r="B64" s="20" t="s">
        <v>104</v>
      </c>
      <c r="C64" s="56">
        <f t="shared" si="0"/>
        <v>40069</v>
      </c>
      <c r="D64" s="57">
        <f>CENTRALA!D64</f>
        <v>5500</v>
      </c>
      <c r="E64" s="56">
        <f t="shared" si="1"/>
        <v>34569</v>
      </c>
      <c r="F64" s="57">
        <f>Dolnośląski!D64</f>
        <v>1660</v>
      </c>
      <c r="G64" s="57">
        <f>KujawskoPomorski!D64</f>
        <v>6900</v>
      </c>
      <c r="H64" s="57">
        <f>Lubelski!D64</f>
        <v>1200</v>
      </c>
      <c r="I64" s="57">
        <f>Lubuski!D64</f>
        <v>860</v>
      </c>
      <c r="J64" s="57">
        <f>Łódzki!D64</f>
        <v>2000</v>
      </c>
      <c r="K64" s="57">
        <f>Małopolski!D64</f>
        <v>3265</v>
      </c>
      <c r="L64" s="57">
        <f>Mazowiecki!D64</f>
        <v>8132</v>
      </c>
      <c r="M64" s="57">
        <f>Opolski!D64</f>
        <v>2020</v>
      </c>
      <c r="N64" s="57">
        <f>Podkarpacki!D64</f>
        <v>1000</v>
      </c>
      <c r="O64" s="57">
        <f>Podlaski!D64</f>
        <v>1179</v>
      </c>
      <c r="P64" s="57">
        <f>Pomorski!D64</f>
        <v>2000</v>
      </c>
      <c r="Q64" s="57">
        <f>Śląski!D64</f>
        <v>860</v>
      </c>
      <c r="R64" s="57">
        <f>Świętokrzyski!D64</f>
        <v>600</v>
      </c>
      <c r="S64" s="57">
        <f>WarmińskoMazurski!D64</f>
        <v>737</v>
      </c>
      <c r="T64" s="57">
        <f>Wielkopolski!D64</f>
        <v>1200</v>
      </c>
      <c r="U64" s="57">
        <f>Zachodniopomorski!D64</f>
        <v>956</v>
      </c>
    </row>
    <row r="65" spans="1:21" ht="30" customHeight="1" x14ac:dyDescent="0.2">
      <c r="A65" s="100" t="s">
        <v>109</v>
      </c>
      <c r="B65" s="22" t="s">
        <v>116</v>
      </c>
      <c r="C65" s="58">
        <f t="shared" si="0"/>
        <v>86053</v>
      </c>
      <c r="D65" s="58">
        <f>CENTRALA!D65</f>
        <v>30182</v>
      </c>
      <c r="E65" s="58">
        <f t="shared" si="1"/>
        <v>55871</v>
      </c>
      <c r="F65" s="58">
        <f>Dolnośląski!D65</f>
        <v>1981</v>
      </c>
      <c r="G65" s="58">
        <f>KujawskoPomorski!D65</f>
        <v>18259</v>
      </c>
      <c r="H65" s="58">
        <f>Lubelski!D65</f>
        <v>5000</v>
      </c>
      <c r="I65" s="58">
        <f>Lubuski!D65</f>
        <v>750</v>
      </c>
      <c r="J65" s="58">
        <f>Łódzki!D65</f>
        <v>5000</v>
      </c>
      <c r="K65" s="58">
        <f>Małopolski!D65</f>
        <v>300</v>
      </c>
      <c r="L65" s="58">
        <f>Mazowiecki!D65</f>
        <v>9640</v>
      </c>
      <c r="M65" s="58">
        <f>Opolski!D65</f>
        <v>1238</v>
      </c>
      <c r="N65" s="58">
        <f>Podkarpacki!D65</f>
        <v>810</v>
      </c>
      <c r="O65" s="58">
        <f>Podlaski!D65</f>
        <v>372</v>
      </c>
      <c r="P65" s="58">
        <f>Pomorski!D65</f>
        <v>3970</v>
      </c>
      <c r="Q65" s="58">
        <f>Śląski!D65</f>
        <v>1355</v>
      </c>
      <c r="R65" s="58">
        <f>Świętokrzyski!D65</f>
        <v>3885</v>
      </c>
      <c r="S65" s="58">
        <f>WarmińskoMazurski!D65</f>
        <v>45</v>
      </c>
      <c r="T65" s="58">
        <f>Wielkopolski!D65</f>
        <v>3200</v>
      </c>
      <c r="U65" s="58">
        <f>Zachodniopomorski!D65</f>
        <v>66</v>
      </c>
    </row>
    <row r="71" spans="1:21" ht="42.75" hidden="1" customHeight="1" x14ac:dyDescent="0.35">
      <c r="B71" s="78" t="s">
        <v>214</v>
      </c>
      <c r="C71" s="79">
        <v>113871</v>
      </c>
      <c r="P71" s="61"/>
      <c r="Q71" s="61"/>
      <c r="R71" s="61"/>
      <c r="S71" s="61"/>
      <c r="T71" s="61"/>
      <c r="U71" s="61"/>
    </row>
    <row r="72" spans="1:21" ht="24.75" hidden="1" customHeight="1" x14ac:dyDescent="0.35">
      <c r="B72" s="76" t="s">
        <v>176</v>
      </c>
      <c r="C72" s="77">
        <v>60011</v>
      </c>
      <c r="Q72" s="61"/>
      <c r="R72" s="61"/>
      <c r="S72" s="61"/>
    </row>
    <row r="73" spans="1:21" ht="24.75" hidden="1" customHeight="1" x14ac:dyDescent="0.35">
      <c r="B73" s="76" t="s">
        <v>177</v>
      </c>
      <c r="C73" s="77">
        <v>53860</v>
      </c>
      <c r="Q73" s="61"/>
      <c r="R73" s="61"/>
      <c r="S73" s="61"/>
    </row>
    <row r="74" spans="1:21" ht="24.75" hidden="1" customHeight="1" x14ac:dyDescent="0.35">
      <c r="B74" s="76" t="s">
        <v>178</v>
      </c>
      <c r="C74" s="77">
        <v>5846</v>
      </c>
      <c r="Q74" s="61"/>
      <c r="R74" s="61"/>
      <c r="S74" s="61"/>
    </row>
    <row r="75" spans="1:21" ht="24.75" hidden="1" customHeight="1" x14ac:dyDescent="0.35">
      <c r="B75" s="76" t="s">
        <v>179</v>
      </c>
      <c r="C75" s="77">
        <v>3751</v>
      </c>
      <c r="Q75" s="61"/>
      <c r="R75" s="61"/>
      <c r="S75" s="61"/>
      <c r="T75" s="61"/>
    </row>
    <row r="76" spans="1:21" ht="24.75" hidden="1" customHeight="1" x14ac:dyDescent="0.35">
      <c r="B76" s="76" t="s">
        <v>180</v>
      </c>
      <c r="C76" s="77">
        <v>1560</v>
      </c>
      <c r="Q76" s="61"/>
      <c r="R76" s="61"/>
      <c r="S76" s="61"/>
    </row>
    <row r="77" spans="1:21" ht="24.75" hidden="1" customHeight="1" x14ac:dyDescent="0.35">
      <c r="B77" s="76" t="s">
        <v>181</v>
      </c>
      <c r="C77" s="77">
        <v>2750</v>
      </c>
      <c r="Q77" s="61"/>
      <c r="R77" s="61"/>
      <c r="S77" s="61"/>
    </row>
    <row r="78" spans="1:21" ht="24.75" hidden="1" customHeight="1" x14ac:dyDescent="0.35">
      <c r="B78" s="76" t="s">
        <v>182</v>
      </c>
      <c r="C78" s="77">
        <v>1429</v>
      </c>
      <c r="Q78" s="61"/>
      <c r="R78" s="61"/>
      <c r="S78" s="61"/>
    </row>
    <row r="79" spans="1:21" ht="24.75" hidden="1" customHeight="1" x14ac:dyDescent="0.35">
      <c r="B79" s="76" t="s">
        <v>183</v>
      </c>
      <c r="C79" s="77">
        <v>7900</v>
      </c>
      <c r="Q79" s="61"/>
      <c r="R79" s="61"/>
      <c r="S79" s="61"/>
    </row>
    <row r="80" spans="1:21" ht="24.75" hidden="1" customHeight="1" x14ac:dyDescent="0.35">
      <c r="B80" s="76" t="s">
        <v>184</v>
      </c>
      <c r="C80" s="77">
        <v>2241</v>
      </c>
      <c r="Q80" s="61"/>
      <c r="R80" s="61"/>
      <c r="S80" s="61"/>
    </row>
    <row r="81" spans="2:19" ht="24.75" hidden="1" customHeight="1" x14ac:dyDescent="0.35">
      <c r="B81" s="76" t="s">
        <v>185</v>
      </c>
      <c r="C81" s="77">
        <v>3560</v>
      </c>
      <c r="Q81" s="61"/>
      <c r="R81" s="61"/>
      <c r="S81" s="61"/>
    </row>
    <row r="82" spans="2:19" ht="24.75" hidden="1" customHeight="1" x14ac:dyDescent="0.35">
      <c r="B82" s="76" t="s">
        <v>186</v>
      </c>
      <c r="C82" s="77">
        <v>3900</v>
      </c>
      <c r="Q82" s="61"/>
      <c r="R82" s="61"/>
      <c r="S82" s="61"/>
    </row>
    <row r="83" spans="2:19" ht="24.75" hidden="1" customHeight="1" x14ac:dyDescent="0.35">
      <c r="B83" s="76" t="s">
        <v>187</v>
      </c>
      <c r="C83" s="77">
        <v>1166</v>
      </c>
      <c r="Q83" s="61"/>
      <c r="R83" s="61"/>
      <c r="S83" s="61"/>
    </row>
    <row r="84" spans="2:19" ht="24.75" hidden="1" customHeight="1" x14ac:dyDescent="0.35">
      <c r="B84" s="76" t="s">
        <v>188</v>
      </c>
      <c r="C84" s="77">
        <v>4866</v>
      </c>
      <c r="Q84" s="61"/>
      <c r="R84" s="61"/>
      <c r="S84" s="61"/>
    </row>
    <row r="85" spans="2:19" ht="24.75" hidden="1" customHeight="1" x14ac:dyDescent="0.35">
      <c r="B85" s="76" t="s">
        <v>189</v>
      </c>
      <c r="C85" s="77">
        <v>5394</v>
      </c>
      <c r="Q85" s="61"/>
      <c r="R85" s="61"/>
      <c r="S85" s="61"/>
    </row>
    <row r="86" spans="2:19" ht="24.75" hidden="1" customHeight="1" x14ac:dyDescent="0.35">
      <c r="B86" s="76" t="s">
        <v>190</v>
      </c>
      <c r="C86" s="77">
        <v>1234</v>
      </c>
      <c r="Q86" s="61"/>
      <c r="R86" s="61"/>
      <c r="S86" s="61"/>
    </row>
    <row r="87" spans="2:19" ht="24.75" hidden="1" customHeight="1" x14ac:dyDescent="0.35">
      <c r="B87" s="76" t="s">
        <v>191</v>
      </c>
      <c r="C87" s="77">
        <v>2018</v>
      </c>
      <c r="Q87" s="61"/>
      <c r="R87" s="61"/>
      <c r="S87" s="61"/>
    </row>
    <row r="88" spans="2:19" ht="24.75" hidden="1" customHeight="1" x14ac:dyDescent="0.35">
      <c r="B88" s="76" t="s">
        <v>192</v>
      </c>
      <c r="C88" s="77">
        <v>4880</v>
      </c>
      <c r="Q88" s="61"/>
      <c r="R88" s="61"/>
      <c r="S88" s="61"/>
    </row>
    <row r="89" spans="2:19" ht="24.75" hidden="1" customHeight="1" x14ac:dyDescent="0.2">
      <c r="B89" s="76" t="s">
        <v>193</v>
      </c>
      <c r="C89" s="77">
        <v>1365</v>
      </c>
    </row>
    <row r="90" spans="2:19" ht="24.75" hidden="1" customHeight="1" x14ac:dyDescent="0.2"/>
  </sheetData>
  <pageMargins left="0.23622047244094491" right="0.23622047244094491" top="0.74803149606299213" bottom="0.74803149606299213" header="0.31496062992125984" footer="0.31496062992125984"/>
  <pageSetup paperSize="9" scale="40" orientation="portrait" r:id="rId1"/>
  <colBreaks count="2" manualBreakCount="2">
    <brk id="8" min="1" max="61" man="1"/>
    <brk id="15" min="1" max="6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view="pageBreakPreview" zoomScale="55" zoomScaleNormal="60" zoomScaleSheetLayoutView="55" workbookViewId="0">
      <pane xSplit="2" ySplit="6" topLeftCell="C22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5.7109375" style="2" customWidth="1"/>
    <col min="4" max="4" width="26.85546875" style="2" customWidth="1"/>
    <col min="5" max="5" width="25.140625" style="2" customWidth="1"/>
    <col min="6" max="6" width="20.7109375" style="2" customWidth="1"/>
    <col min="7" max="16384" width="9.140625" style="2"/>
  </cols>
  <sheetData>
    <row r="1" spans="1:6" s="24" customFormat="1" ht="46.5" customHeight="1" x14ac:dyDescent="0.2">
      <c r="A1" s="160" t="str">
        <f>NFZ!A1</f>
        <v>ZMIANA PLANU FINANSOWEGO NARODOWEGO FUNDUSZU ZDROWIA NA 2017 ROK Z DNIA 18 LIPCA 2017 R.</v>
      </c>
      <c r="B1" s="160"/>
      <c r="C1" s="160"/>
      <c r="D1" s="160"/>
      <c r="E1" s="160"/>
      <c r="F1" s="160"/>
    </row>
    <row r="2" spans="1:6" s="26" customFormat="1" ht="33" customHeight="1" x14ac:dyDescent="0.2">
      <c r="A2" s="115" t="s">
        <v>170</v>
      </c>
      <c r="B2" s="115"/>
      <c r="C2" s="115"/>
    </row>
    <row r="3" spans="1:6" ht="33" customHeight="1" x14ac:dyDescent="0.25">
      <c r="A3" s="5"/>
      <c r="B3" s="6"/>
      <c r="C3" s="40"/>
      <c r="D3" s="60"/>
      <c r="E3" s="40" t="s">
        <v>141</v>
      </c>
      <c r="F3" s="7"/>
    </row>
    <row r="4" spans="1:6" s="117" customFormat="1" ht="65.099999999999994" customHeight="1" x14ac:dyDescent="0.2">
      <c r="A4" s="124" t="s">
        <v>118</v>
      </c>
      <c r="B4" s="124" t="s">
        <v>54</v>
      </c>
      <c r="C4" s="125" t="s">
        <v>230</v>
      </c>
      <c r="D4" s="125" t="s">
        <v>171</v>
      </c>
      <c r="E4" s="126" t="s">
        <v>172</v>
      </c>
      <c r="F4" s="126" t="s">
        <v>173</v>
      </c>
    </row>
    <row r="5" spans="1:6" s="118" customFormat="1" ht="14.25" x14ac:dyDescent="0.2">
      <c r="A5" s="127">
        <v>1</v>
      </c>
      <c r="B5" s="128">
        <v>2</v>
      </c>
      <c r="C5" s="127">
        <v>3</v>
      </c>
      <c r="D5" s="128">
        <v>4</v>
      </c>
      <c r="E5" s="127">
        <v>5</v>
      </c>
      <c r="F5" s="128">
        <v>6</v>
      </c>
    </row>
    <row r="6" spans="1:6" ht="30" customHeight="1" x14ac:dyDescent="0.2">
      <c r="A6" s="101" t="s">
        <v>0</v>
      </c>
      <c r="B6" s="73" t="s">
        <v>232</v>
      </c>
      <c r="C6" s="150">
        <f>C7+C8+C9+C14+C15+C16+C17+C18+C19+C20+C21+C22+C23+C24+C28+C29+C31+C32+C33+C34</f>
        <v>72115371</v>
      </c>
      <c r="D6" s="150">
        <f>D7+D8+D9+D14+D15+D16+D17+D18+D19+D20+D21+D22+D23+D24+D28+D29+D31+D32+D33+D34</f>
        <v>73550568</v>
      </c>
      <c r="E6" s="131">
        <f>IF(C6=D6,"-",D6-C6)</f>
        <v>1435197</v>
      </c>
      <c r="F6" s="148">
        <f>IF(C6=0,"-",D6/C6)</f>
        <v>1.0199</v>
      </c>
    </row>
    <row r="7" spans="1:6" ht="33" customHeight="1" x14ac:dyDescent="0.2">
      <c r="A7" s="93" t="s">
        <v>1</v>
      </c>
      <c r="B7" s="15" t="s">
        <v>119</v>
      </c>
      <c r="C7" s="36">
        <f>Dolnośląski!C7+KujawskoPomorski!C7+Lubelski!C7+Lubuski!C7+Łódzki!C7+Małopolski!C7+Mazowiecki!C7+Opolski!C7+Podkarpacki!C7+Podlaski!C7+Pomorski!C7+Śląski!C7+Świętokrzyski!C7+WarmińskoMazurski!C7+Wielkopolski!C7+Zachodniopomorski!C7</f>
        <v>9927337</v>
      </c>
      <c r="D7" s="14">
        <f>Dolnośląski!D7+KujawskoPomorski!D7+Lubelski!D7+Lubuski!D7+Łódzki!D7+Małopolski!D7+Mazowiecki!D7+Opolski!D7+Podkarpacki!D7+Podlaski!D7+Pomorski!D7+Śląski!D7+Świętokrzyski!D7+WarmińskoMazurski!D7+Wielkopolski!D7+Zachodniopomorski!D7</f>
        <v>10053480</v>
      </c>
      <c r="E7" s="43">
        <f t="shared" ref="E7:E65" si="0">IF(C7=D7,"-",D7-C7)</f>
        <v>126143</v>
      </c>
      <c r="F7" s="44">
        <f t="shared" ref="F7:F65" si="1">IF(C7=0,"-",D7/C7)</f>
        <v>1.0126999999999999</v>
      </c>
    </row>
    <row r="8" spans="1:6" ht="33" customHeight="1" x14ac:dyDescent="0.2">
      <c r="A8" s="93" t="s">
        <v>2</v>
      </c>
      <c r="B8" s="15" t="s">
        <v>120</v>
      </c>
      <c r="C8" s="36">
        <f>Dolnośląski!C8+KujawskoPomorski!C8+Lubelski!C8+Lubuski!C8+Łódzki!C8+Małopolski!C8+Mazowiecki!C8+Opolski!C8+Podkarpacki!C8+Podlaski!C8+Pomorski!C8+Śląski!C8+Świętokrzyski!C8+WarmińskoMazurski!C8+Wielkopolski!C8+Zachodniopomorski!C8</f>
        <v>5834936</v>
      </c>
      <c r="D8" s="14">
        <f>Dolnośląski!D8+KujawskoPomorski!D8+Lubelski!D8+Lubuski!D8+Łódzki!D8+Małopolski!D8+Mazowiecki!D8+Opolski!D8+Podkarpacki!D8+Podlaski!D8+Pomorski!D8+Śląski!D8+Świętokrzyski!D8+WarmińskoMazurski!D8+Wielkopolski!D8+Zachodniopomorski!D8</f>
        <v>5870636</v>
      </c>
      <c r="E8" s="43">
        <f t="shared" si="0"/>
        <v>35700</v>
      </c>
      <c r="F8" s="44">
        <f t="shared" si="1"/>
        <v>1.0061</v>
      </c>
    </row>
    <row r="9" spans="1:6" ht="33" customHeight="1" x14ac:dyDescent="0.2">
      <c r="A9" s="93" t="s">
        <v>3</v>
      </c>
      <c r="B9" s="15" t="s">
        <v>117</v>
      </c>
      <c r="C9" s="36">
        <f>Dolnośląski!C9+KujawskoPomorski!C9+Lubelski!C9+Lubuski!C9+Łódzki!C9+Małopolski!C9+Mazowiecki!C9+Opolski!C9+Podkarpacki!C9+Podlaski!C9+Pomorski!C9+Śląski!C9+Świętokrzyski!C9+WarmińskoMazurski!C9+Wielkopolski!C9+Zachodniopomorski!C9</f>
        <v>34974859</v>
      </c>
      <c r="D9" s="14">
        <f>Dolnośląski!D9+KujawskoPomorski!D9+Lubelski!D9+Lubuski!D9+Łódzki!D9+Małopolski!D9+Mazowiecki!D9+Opolski!D9+Podkarpacki!D9+Podlaski!D9+Pomorski!D9+Śląski!D9+Świętokrzyski!D9+WarmińskoMazurski!D9+Wielkopolski!D9+Zachodniopomorski!D9</f>
        <v>35913462</v>
      </c>
      <c r="E9" s="43">
        <f t="shared" si="0"/>
        <v>938603</v>
      </c>
      <c r="F9" s="44">
        <f t="shared" si="1"/>
        <v>1.0267999999999999</v>
      </c>
    </row>
    <row r="10" spans="1:6" ht="31.5" customHeight="1" x14ac:dyDescent="0.2">
      <c r="A10" s="94" t="s">
        <v>56</v>
      </c>
      <c r="B10" s="89" t="s">
        <v>142</v>
      </c>
      <c r="C10" s="36">
        <f>Dolnośląski!C10+KujawskoPomorski!C10+Lubelski!C10+Lubuski!C10+Łódzki!C10+Małopolski!C10+Mazowiecki!C10+Opolski!C10+Podkarpacki!C10+Podlaski!C10+Pomorski!C10+Śląski!C10+Świętokrzyski!C10+WarmińskoMazurski!C10+Wielkopolski!C10+Zachodniopomorski!C10</f>
        <v>3334130</v>
      </c>
      <c r="D10" s="14">
        <f>Dolnośląski!D10+KujawskoPomorski!D10+Lubelski!D10+Lubuski!D10+Łódzki!D10+Małopolski!D10+Mazowiecki!D10+Opolski!D10+Podkarpacki!D10+Podlaski!D10+Pomorski!D10+Śląski!D10+Świętokrzyski!D10+WarmińskoMazurski!D10+Wielkopolski!D10+Zachodniopomorski!D10</f>
        <v>3338968</v>
      </c>
      <c r="E10" s="43">
        <f t="shared" si="0"/>
        <v>4838</v>
      </c>
      <c r="F10" s="44">
        <f t="shared" si="1"/>
        <v>1.0015000000000001</v>
      </c>
    </row>
    <row r="11" spans="1:6" ht="31.5" customHeight="1" x14ac:dyDescent="0.2">
      <c r="A11" s="94" t="s">
        <v>143</v>
      </c>
      <c r="B11" s="89" t="s">
        <v>146</v>
      </c>
      <c r="C11" s="36">
        <f>Dolnośląski!C11+KujawskoPomorski!C11+Lubelski!C11+Lubuski!C11+Łódzki!C11+Małopolski!C11+Mazowiecki!C11+Opolski!C11+Podkarpacki!C11+Podlaski!C11+Pomorski!C11+Śląski!C11+Świętokrzyski!C11+WarmińskoMazurski!C11+Wielkopolski!C11+Zachodniopomorski!C11</f>
        <v>3034675</v>
      </c>
      <c r="D11" s="14">
        <f>Dolnośląski!D11+KujawskoPomorski!D11+Lubelski!D11+Lubuski!D11+Łódzki!D11+Małopolski!D11+Mazowiecki!D11+Opolski!D11+Podkarpacki!D11+Podlaski!D11+Pomorski!D11+Śląski!D11+Świętokrzyski!D11+WarmińskoMazurski!D11+Wielkopolski!D11+Zachodniopomorski!D11</f>
        <v>3034675</v>
      </c>
      <c r="E11" s="43" t="str">
        <f t="shared" si="0"/>
        <v>-</v>
      </c>
      <c r="F11" s="44">
        <f t="shared" si="1"/>
        <v>1</v>
      </c>
    </row>
    <row r="12" spans="1:6" ht="31.5" customHeight="1" x14ac:dyDescent="0.2">
      <c r="A12" s="94" t="s">
        <v>144</v>
      </c>
      <c r="B12" s="89" t="s">
        <v>147</v>
      </c>
      <c r="C12" s="36">
        <f>Dolnośląski!C12+KujawskoPomorski!C12+Lubelski!C12+Lubuski!C12+Łódzki!C12+Małopolski!C12+Mazowiecki!C12+Opolski!C12+Podkarpacki!C12+Podlaski!C12+Pomorski!C12+Śląski!C12+Świętokrzyski!C12+WarmińskoMazurski!C12+Wielkopolski!C12+Zachodniopomorski!C12</f>
        <v>1426071</v>
      </c>
      <c r="D12" s="14">
        <f>Dolnośląski!D12+KujawskoPomorski!D12+Lubelski!D12+Lubuski!D12+Łódzki!D12+Małopolski!D12+Mazowiecki!D12+Opolski!D12+Podkarpacki!D12+Podlaski!D12+Pomorski!D12+Śląski!D12+Świętokrzyski!D12+WarmińskoMazurski!D12+Wielkopolski!D12+Zachodniopomorski!D12</f>
        <v>1426271</v>
      </c>
      <c r="E12" s="43">
        <f t="shared" si="0"/>
        <v>200</v>
      </c>
      <c r="F12" s="44">
        <f t="shared" si="1"/>
        <v>1.0001</v>
      </c>
    </row>
    <row r="13" spans="1:6" ht="31.5" customHeight="1" x14ac:dyDescent="0.2">
      <c r="A13" s="94" t="s">
        <v>145</v>
      </c>
      <c r="B13" s="89" t="s">
        <v>148</v>
      </c>
      <c r="C13" s="36">
        <f>Dolnośląski!C13+KujawskoPomorski!C13+Lubelski!C13+Lubuski!C13+Łódzki!C13+Małopolski!C13+Mazowiecki!C13+Opolski!C13+Podkarpacki!C13+Podlaski!C13+Pomorski!C13+Śląski!C13+Świętokrzyski!C13+WarmińskoMazurski!C13+Wielkopolski!C13+Zachodniopomorski!C13</f>
        <v>643895</v>
      </c>
      <c r="D13" s="14">
        <f>Dolnośląski!D13+KujawskoPomorski!D13+Lubelski!D13+Lubuski!D13+Łódzki!D13+Małopolski!D13+Mazowiecki!D13+Opolski!D13+Podkarpacki!D13+Podlaski!D13+Pomorski!D13+Śląski!D13+Świętokrzyski!D13+WarmińskoMazurski!D13+Wielkopolski!D13+Zachodniopomorski!D13</f>
        <v>643895</v>
      </c>
      <c r="E13" s="43" t="str">
        <f t="shared" si="0"/>
        <v>-</v>
      </c>
      <c r="F13" s="44">
        <f t="shared" si="1"/>
        <v>1</v>
      </c>
    </row>
    <row r="14" spans="1:6" ht="33" customHeight="1" x14ac:dyDescent="0.2">
      <c r="A14" s="93" t="s">
        <v>4</v>
      </c>
      <c r="B14" s="15" t="s">
        <v>125</v>
      </c>
      <c r="C14" s="36">
        <f>Dolnośląski!C14+KujawskoPomorski!C14+Lubelski!C14+Lubuski!C14+Łódzki!C14+Małopolski!C14+Mazowiecki!C14+Opolski!C14+Podkarpacki!C14+Podlaski!C14+Pomorski!C14+Śląski!C14+Świętokrzyski!C14+WarmińskoMazurski!C14+Wielkopolski!C14+Zachodniopomorski!C14</f>
        <v>2680424</v>
      </c>
      <c r="D14" s="14">
        <f>Dolnośląski!D14+KujawskoPomorski!D14+Lubelski!D14+Lubuski!D14+Łódzki!D14+Małopolski!D14+Mazowiecki!D14+Opolski!D14+Podkarpacki!D14+Podlaski!D14+Pomorski!D14+Śląski!D14+Świętokrzyski!D14+WarmińskoMazurski!D14+Wielkopolski!D14+Zachodniopomorski!D14</f>
        <v>2687924</v>
      </c>
      <c r="E14" s="43">
        <f t="shared" si="0"/>
        <v>7500</v>
      </c>
      <c r="F14" s="44">
        <f t="shared" si="1"/>
        <v>1.0027999999999999</v>
      </c>
    </row>
    <row r="15" spans="1:6" ht="33" customHeight="1" x14ac:dyDescent="0.2">
      <c r="A15" s="93" t="s">
        <v>5</v>
      </c>
      <c r="B15" s="15" t="s">
        <v>121</v>
      </c>
      <c r="C15" s="36">
        <f>Dolnośląski!C15+KujawskoPomorski!C15+Lubelski!C15+Lubuski!C15+Łódzki!C15+Małopolski!C15+Mazowiecki!C15+Opolski!C15+Podkarpacki!C15+Podlaski!C15+Pomorski!C15+Śląski!C15+Świętokrzyski!C15+WarmińskoMazurski!C15+Wielkopolski!C15+Zachodniopomorski!C15</f>
        <v>2280663</v>
      </c>
      <c r="D15" s="14">
        <f>Dolnośląski!D15+KujawskoPomorski!D15+Lubelski!D15+Lubuski!D15+Łódzki!D15+Małopolski!D15+Mazowiecki!D15+Opolski!D15+Podkarpacki!D15+Podlaski!D15+Pomorski!D15+Śląski!D15+Świętokrzyski!D15+WarmińskoMazurski!D15+Wielkopolski!D15+Zachodniopomorski!D15</f>
        <v>2291343</v>
      </c>
      <c r="E15" s="43">
        <f t="shared" si="0"/>
        <v>10680</v>
      </c>
      <c r="F15" s="44">
        <f t="shared" si="1"/>
        <v>1.0046999999999999</v>
      </c>
    </row>
    <row r="16" spans="1:6" ht="33" customHeight="1" x14ac:dyDescent="0.2">
      <c r="A16" s="93" t="s">
        <v>6</v>
      </c>
      <c r="B16" s="15" t="s">
        <v>127</v>
      </c>
      <c r="C16" s="36">
        <f>Dolnośląski!C16+KujawskoPomorski!C16+Lubelski!C16+Lubuski!C16+Łódzki!C16+Małopolski!C16+Mazowiecki!C16+Opolski!C16+Podkarpacki!C16+Podlaski!C16+Pomorski!C16+Śląski!C16+Świętokrzyski!C16+WarmińskoMazurski!C16+Wielkopolski!C16+Zachodniopomorski!C16</f>
        <v>1399315</v>
      </c>
      <c r="D16" s="14">
        <f>Dolnośląski!D16+KujawskoPomorski!D16+Lubelski!D16+Lubuski!D16+Łódzki!D16+Małopolski!D16+Mazowiecki!D16+Opolski!D16+Podkarpacki!D16+Podlaski!D16+Pomorski!D16+Śląski!D16+Świętokrzyski!D16+WarmińskoMazurski!D16+Wielkopolski!D16+Zachodniopomorski!D16</f>
        <v>1420685</v>
      </c>
      <c r="E16" s="43">
        <f t="shared" si="0"/>
        <v>21370</v>
      </c>
      <c r="F16" s="44">
        <f t="shared" si="1"/>
        <v>1.0153000000000001</v>
      </c>
    </row>
    <row r="17" spans="1:6" ht="33" customHeight="1" x14ac:dyDescent="0.2">
      <c r="A17" s="93" t="s">
        <v>7</v>
      </c>
      <c r="B17" s="15" t="s">
        <v>126</v>
      </c>
      <c r="C17" s="36">
        <f>Dolnośląski!C17+KujawskoPomorski!C17+Lubelski!C17+Lubuski!C17+Łódzki!C17+Małopolski!C17+Mazowiecki!C17+Opolski!C17+Podkarpacki!C17+Podlaski!C17+Pomorski!C17+Śląski!C17+Świętokrzyski!C17+WarmińskoMazurski!C17+Wielkopolski!C17+Zachodniopomorski!C17</f>
        <v>647857</v>
      </c>
      <c r="D17" s="14">
        <f>Dolnośląski!D17+KujawskoPomorski!D17+Lubelski!D17+Lubuski!D17+Łódzki!D17+Małopolski!D17+Mazowiecki!D17+Opolski!D17+Podkarpacki!D17+Podlaski!D17+Pomorski!D17+Śląski!D17+Świętokrzyski!D17+WarmińskoMazurski!D17+Wielkopolski!D17+Zachodniopomorski!D17</f>
        <v>662536</v>
      </c>
      <c r="E17" s="43">
        <f t="shared" si="0"/>
        <v>14679</v>
      </c>
      <c r="F17" s="44">
        <f t="shared" si="1"/>
        <v>1.0226999999999999</v>
      </c>
    </row>
    <row r="18" spans="1:6" ht="33" customHeight="1" x14ac:dyDescent="0.2">
      <c r="A18" s="93" t="s">
        <v>8</v>
      </c>
      <c r="B18" s="15" t="s">
        <v>122</v>
      </c>
      <c r="C18" s="36">
        <f>Dolnośląski!C18+KujawskoPomorski!C18+Lubelski!C18+Lubuski!C18+Łódzki!C18+Małopolski!C18+Mazowiecki!C18+Opolski!C18+Podkarpacki!C18+Podlaski!C18+Pomorski!C18+Śląski!C18+Świętokrzyski!C18+WarmińskoMazurski!C18+Wielkopolski!C18+Zachodniopomorski!C18</f>
        <v>1858886</v>
      </c>
      <c r="D18" s="14">
        <f>Dolnośląski!D18+KujawskoPomorski!D18+Lubelski!D18+Lubuski!D18+Łódzki!D18+Małopolski!D18+Mazowiecki!D18+Opolski!D18+Podkarpacki!D18+Podlaski!D18+Pomorski!D18+Śląski!D18+Świętokrzyski!D18+WarmińskoMazurski!D18+Wielkopolski!D18+Zachodniopomorski!D18</f>
        <v>1858886</v>
      </c>
      <c r="E18" s="43" t="str">
        <f t="shared" si="0"/>
        <v>-</v>
      </c>
      <c r="F18" s="44">
        <f t="shared" si="1"/>
        <v>1</v>
      </c>
    </row>
    <row r="19" spans="1:6" ht="33" customHeight="1" x14ac:dyDescent="0.2">
      <c r="A19" s="93" t="s">
        <v>9</v>
      </c>
      <c r="B19" s="15" t="s">
        <v>123</v>
      </c>
      <c r="C19" s="36">
        <f>Dolnośląski!C19+KujawskoPomorski!C19+Lubelski!C19+Lubuski!C19+Łódzki!C19+Małopolski!C19+Mazowiecki!C19+Opolski!C19+Podkarpacki!C19+Podlaski!C19+Pomorski!C19+Śląski!C19+Świętokrzyski!C19+WarmińskoMazurski!C19+Wielkopolski!C19+Zachodniopomorski!C19</f>
        <v>658591</v>
      </c>
      <c r="D19" s="14">
        <f>Dolnośląski!D19+KujawskoPomorski!D19+Lubelski!D19+Lubuski!D19+Łódzki!D19+Małopolski!D19+Mazowiecki!D19+Opolski!D19+Podkarpacki!D19+Podlaski!D19+Pomorski!D19+Śląski!D19+Świętokrzyski!D19+WarmińskoMazurski!D19+Wielkopolski!D19+Zachodniopomorski!D19</f>
        <v>659091</v>
      </c>
      <c r="E19" s="43">
        <f t="shared" si="0"/>
        <v>500</v>
      </c>
      <c r="F19" s="44">
        <f t="shared" si="1"/>
        <v>1.0007999999999999</v>
      </c>
    </row>
    <row r="20" spans="1:6" ht="33" customHeight="1" x14ac:dyDescent="0.2">
      <c r="A20" s="93" t="s">
        <v>10</v>
      </c>
      <c r="B20" s="15" t="s">
        <v>128</v>
      </c>
      <c r="C20" s="36">
        <f>Dolnośląski!C20+KujawskoPomorski!C20+Lubelski!C20+Lubuski!C20+Łódzki!C20+Małopolski!C20+Mazowiecki!C20+Opolski!C20+Podkarpacki!C20+Podlaski!C20+Pomorski!C20+Śląski!C20+Świętokrzyski!C20+WarmińskoMazurski!C20+Wielkopolski!C20+Zachodniopomorski!C20</f>
        <v>48765</v>
      </c>
      <c r="D20" s="14">
        <f>Dolnośląski!D20+KujawskoPomorski!D20+Lubelski!D20+Lubuski!D20+Łódzki!D20+Małopolski!D20+Mazowiecki!D20+Opolski!D20+Podkarpacki!D20+Podlaski!D20+Pomorski!D20+Śląski!D20+Świętokrzyski!D20+WarmińskoMazurski!D20+Wielkopolski!D20+Zachodniopomorski!D20</f>
        <v>48765</v>
      </c>
      <c r="E20" s="43" t="str">
        <f t="shared" si="0"/>
        <v>-</v>
      </c>
      <c r="F20" s="44">
        <f t="shared" si="1"/>
        <v>1</v>
      </c>
    </row>
    <row r="21" spans="1:6" ht="46.5" customHeight="1" x14ac:dyDescent="0.2">
      <c r="A21" s="93" t="s">
        <v>11</v>
      </c>
      <c r="B21" s="15" t="s">
        <v>124</v>
      </c>
      <c r="C21" s="36">
        <f>Dolnośląski!C21+KujawskoPomorski!C21+Lubelski!C21+Lubuski!C21+Łódzki!C21+Małopolski!C21+Mazowiecki!C21+Opolski!C21+Podkarpacki!C21+Podlaski!C21+Pomorski!C21+Śląski!C21+Świętokrzyski!C21+WarmińskoMazurski!C21+Wielkopolski!C21+Zachodniopomorski!C21</f>
        <v>195103</v>
      </c>
      <c r="D21" s="14">
        <f>Dolnośląski!D21+KujawskoPomorski!D21+Lubelski!D21+Lubuski!D21+Łódzki!D21+Małopolski!D21+Mazowiecki!D21+Opolski!D21+Podkarpacki!D21+Podlaski!D21+Pomorski!D21+Śląski!D21+Świętokrzyski!D21+WarmińskoMazurski!D21+Wielkopolski!D21+Zachodniopomorski!D21</f>
        <v>196103</v>
      </c>
      <c r="E21" s="43">
        <f t="shared" si="0"/>
        <v>1000</v>
      </c>
      <c r="F21" s="44">
        <f t="shared" si="1"/>
        <v>1.0051000000000001</v>
      </c>
    </row>
    <row r="22" spans="1:6" ht="33" customHeight="1" x14ac:dyDescent="0.2">
      <c r="A22" s="93" t="s">
        <v>12</v>
      </c>
      <c r="B22" s="15" t="s">
        <v>165</v>
      </c>
      <c r="C22" s="36">
        <f>Dolnośląski!C22+KujawskoPomorski!C22+Lubelski!C22+Lubuski!C22+Łódzki!C22+Małopolski!C22+Mazowiecki!C22+Opolski!C22+Podkarpacki!C22+Podlaski!C22+Pomorski!C22+Śląski!C22+Świętokrzyski!C22+WarmińskoMazurski!C22+Wielkopolski!C22+Zachodniopomorski!C22</f>
        <v>2077259</v>
      </c>
      <c r="D22" s="14">
        <f>Dolnośląski!D22+KujawskoPomorski!D22+Lubelski!D22+Lubuski!D22+Łódzki!D22+Małopolski!D22+Mazowiecki!D22+Opolski!D22+Podkarpacki!D22+Podlaski!D22+Pomorski!D22+Śląski!D22+Świętokrzyski!D22+WarmińskoMazurski!D22+Wielkopolski!D22+Zachodniopomorski!D22</f>
        <v>2091675</v>
      </c>
      <c r="E22" s="43">
        <f t="shared" si="0"/>
        <v>14416</v>
      </c>
      <c r="F22" s="44">
        <f t="shared" si="1"/>
        <v>1.0068999999999999</v>
      </c>
    </row>
    <row r="23" spans="1:6" ht="33" customHeight="1" x14ac:dyDescent="0.2">
      <c r="A23" s="93" t="s">
        <v>13</v>
      </c>
      <c r="B23" s="15" t="s">
        <v>149</v>
      </c>
      <c r="C23" s="36">
        <f>Dolnośląski!C23+KujawskoPomorski!C23+Lubelski!C23+Lubuski!C23+Łódzki!C23+Małopolski!C23+Mazowiecki!C23+Opolski!C23+Podkarpacki!C23+Podlaski!C23+Pomorski!C23+Śląski!C23+Świętokrzyski!C23+WarmińskoMazurski!C23+Wielkopolski!C23+Zachodniopomorski!C23</f>
        <v>990441</v>
      </c>
      <c r="D23" s="14">
        <f>Dolnośląski!D23+KujawskoPomorski!D23+Lubelski!D23+Lubuski!D23+Łódzki!D23+Małopolski!D23+Mazowiecki!D23+Opolski!D23+Podkarpacki!D23+Podlaski!D23+Pomorski!D23+Śląski!D23+Świętokrzyski!D23+WarmińskoMazurski!D23+Wielkopolski!D23+Zachodniopomorski!D23</f>
        <v>1009941</v>
      </c>
      <c r="E23" s="43">
        <f t="shared" si="0"/>
        <v>19500</v>
      </c>
      <c r="F23" s="44">
        <f t="shared" si="1"/>
        <v>1.0197000000000001</v>
      </c>
    </row>
    <row r="24" spans="1:6" ht="33" customHeight="1" x14ac:dyDescent="0.2">
      <c r="A24" s="95" t="s">
        <v>14</v>
      </c>
      <c r="B24" s="35" t="s">
        <v>222</v>
      </c>
      <c r="C24" s="36">
        <f>Dolnośląski!C24+KujawskoPomorski!C24+Lubelski!C24+Lubuski!C24+Łódzki!C24+Małopolski!C24+Mazowiecki!C24+Opolski!C24+Podkarpacki!C24+Podlaski!C24+Pomorski!C24+Śląski!C24+Świętokrzyski!C24+WarmińskoMazurski!C24+Wielkopolski!C24+Zachodniopomorski!C24</f>
        <v>8164845</v>
      </c>
      <c r="D24" s="36">
        <f>Dolnośląski!D24+KujawskoPomorski!D24+Lubelski!D24+Lubuski!D24+Łódzki!D24+Małopolski!D24+Mazowiecki!D24+Opolski!D24+Podkarpacki!D24+Podlaski!D24+Pomorski!D24+Śląski!D24+Świętokrzyski!D24+WarmińskoMazurski!D24+Wielkopolski!D24+Zachodniopomorski!D24</f>
        <v>8164845</v>
      </c>
      <c r="E24" s="43" t="str">
        <f t="shared" si="0"/>
        <v>-</v>
      </c>
      <c r="F24" s="44">
        <f t="shared" si="1"/>
        <v>1</v>
      </c>
    </row>
    <row r="25" spans="1:6" ht="37.5" x14ac:dyDescent="0.2">
      <c r="A25" s="94" t="s">
        <v>129</v>
      </c>
      <c r="B25" s="89" t="s">
        <v>151</v>
      </c>
      <c r="C25" s="36">
        <f>Dolnośląski!C25+KujawskoPomorski!C25+Lubelski!C25+Lubuski!C25+Łódzki!C25+Małopolski!C25+Mazowiecki!C25+Opolski!C25+Podkarpacki!C25+Podlaski!C25+Pomorski!C25+Śląski!C25+Świętokrzyski!C25+WarmińskoMazurski!C25+Wielkopolski!C25+Zachodniopomorski!C25</f>
        <v>8131209</v>
      </c>
      <c r="D25" s="14">
        <f>Dolnośląski!D25+KujawskoPomorski!D25+Lubelski!D25+Lubuski!D25+Łódzki!D25+Małopolski!D25+Mazowiecki!D25+Opolski!D25+Podkarpacki!D25+Podlaski!D25+Pomorski!D25+Śląski!D25+Świętokrzyski!D25+WarmińskoMazurski!D25+Wielkopolski!D25+Zachodniopomorski!D25</f>
        <v>8131209</v>
      </c>
      <c r="E25" s="43" t="str">
        <f t="shared" si="0"/>
        <v>-</v>
      </c>
      <c r="F25" s="44">
        <f t="shared" si="1"/>
        <v>1</v>
      </c>
    </row>
    <row r="26" spans="1:6" ht="31.5" customHeight="1" x14ac:dyDescent="0.2">
      <c r="A26" s="94" t="s">
        <v>150</v>
      </c>
      <c r="B26" s="89" t="s">
        <v>153</v>
      </c>
      <c r="C26" s="36">
        <f>Dolnośląski!C26+KujawskoPomorski!C26+Lubelski!C26+Lubuski!C26+Łódzki!C26+Małopolski!C26+Mazowiecki!C26+Opolski!C26+Podkarpacki!C26+Podlaski!C26+Pomorski!C26+Śląski!C26+Świętokrzyski!C26+WarmińskoMazurski!C26+Wielkopolski!C26+Zachodniopomorski!C26</f>
        <v>20677</v>
      </c>
      <c r="D26" s="14">
        <f>Dolnośląski!D26+KujawskoPomorski!D26+Lubelski!D26+Lubuski!D26+Łódzki!D26+Małopolski!D26+Mazowiecki!D26+Opolski!D26+Podkarpacki!D26+Podlaski!D26+Pomorski!D26+Śląski!D26+Świętokrzyski!D26+WarmińskoMazurski!D26+Wielkopolski!D26+Zachodniopomorski!D26</f>
        <v>20677</v>
      </c>
      <c r="E26" s="43" t="str">
        <f t="shared" si="0"/>
        <v>-</v>
      </c>
      <c r="F26" s="44">
        <f t="shared" si="1"/>
        <v>1</v>
      </c>
    </row>
    <row r="27" spans="1:6" ht="37.5" x14ac:dyDescent="0.2">
      <c r="A27" s="94" t="s">
        <v>154</v>
      </c>
      <c r="B27" s="89" t="s">
        <v>152</v>
      </c>
      <c r="C27" s="36">
        <f>Dolnośląski!C27+KujawskoPomorski!C27+Lubelski!C27+Lubuski!C27+Łódzki!C27+Małopolski!C27+Mazowiecki!C27+Opolski!C27+Podkarpacki!C27+Podlaski!C27+Pomorski!C27+Śląski!C27+Świętokrzyski!C27+WarmińskoMazurski!C27+Wielkopolski!C27+Zachodniopomorski!C27</f>
        <v>12959</v>
      </c>
      <c r="D27" s="14">
        <f>Dolnośląski!D27+KujawskoPomorski!D27+Lubelski!D27+Lubuski!D27+Łódzki!D27+Małopolski!D27+Mazowiecki!D27+Opolski!D27+Podkarpacki!D27+Podlaski!D27+Pomorski!D27+Śląski!D27+Świętokrzyski!D27+WarmińskoMazurski!D27+Wielkopolski!D27+Zachodniopomorski!D27</f>
        <v>12959</v>
      </c>
      <c r="E27" s="43" t="str">
        <f t="shared" si="0"/>
        <v>-</v>
      </c>
      <c r="F27" s="44">
        <f t="shared" si="1"/>
        <v>1</v>
      </c>
    </row>
    <row r="28" spans="1:6" ht="33" customHeight="1" x14ac:dyDescent="0.2">
      <c r="A28" s="96" t="s">
        <v>15</v>
      </c>
      <c r="B28" s="16" t="s">
        <v>113</v>
      </c>
      <c r="C28" s="36">
        <f>Dolnośląski!C28+KujawskoPomorski!C28+Lubelski!C28+Lubuski!C28+Łódzki!C28+Małopolski!C28+Mazowiecki!C28+Opolski!C28+Podkarpacki!C28+Podlaski!C28+Pomorski!C28+Śląski!C28+Świętokrzyski!C28+WarmińskoMazurski!C28+Wielkopolski!C28+Zachodniopomorski!C28</f>
        <v>0</v>
      </c>
      <c r="D28" s="14">
        <f>Dolnośląski!D28+KujawskoPomorski!D28+Lubelski!D28+Lubuski!D28+Łódzki!D28+Małopolski!D28+Mazowiecki!D28+Opolski!D28+Podkarpacki!D28+Podlaski!D28+Pomorski!D28+Śląski!D28+Świętokrzyski!D28+WarmińskoMazurski!D28+Wielkopolski!D28+Zachodniopomorski!D28</f>
        <v>0</v>
      </c>
      <c r="E28" s="43" t="str">
        <f t="shared" si="0"/>
        <v>-</v>
      </c>
      <c r="F28" s="44" t="str">
        <f t="shared" si="1"/>
        <v>-</v>
      </c>
    </row>
    <row r="29" spans="1:6" ht="33" customHeight="1" x14ac:dyDescent="0.2">
      <c r="A29" s="96" t="s">
        <v>110</v>
      </c>
      <c r="B29" s="17" t="s">
        <v>155</v>
      </c>
      <c r="C29" s="36">
        <f>Dolnośląski!C29+KujawskoPomorski!C29+Lubelski!C29+Lubuski!C29+Łódzki!C29+Małopolski!C29+Mazowiecki!C29+Opolski!C29+Podkarpacki!C29+Podlaski!C29+Pomorski!C29+Śląski!C29+Świętokrzyski!C29+WarmińskoMazurski!C29+Wielkopolski!C29+Zachodniopomorski!C29</f>
        <v>0</v>
      </c>
      <c r="D29" s="14">
        <f>Dolnośląski!D29+KujawskoPomorski!D29+Lubelski!D29+Lubuski!D29+Łódzki!D29+Małopolski!D29+Mazowiecki!D29+Opolski!D29+Podkarpacki!D29+Podlaski!D29+Pomorski!D29+Śląski!D29+Świętokrzyski!D29+WarmińskoMazurski!D29+Wielkopolski!D29+Zachodniopomorski!D29</f>
        <v>232378</v>
      </c>
      <c r="E29" s="43">
        <f t="shared" si="0"/>
        <v>232378</v>
      </c>
      <c r="F29" s="44" t="str">
        <f t="shared" si="1"/>
        <v>-</v>
      </c>
    </row>
    <row r="30" spans="1:6" ht="31.5" customHeight="1" x14ac:dyDescent="0.2">
      <c r="A30" s="94" t="s">
        <v>156</v>
      </c>
      <c r="B30" s="89" t="s">
        <v>167</v>
      </c>
      <c r="C30" s="36">
        <f>Dolnośląski!C30+KujawskoPomorski!C30+Lubelski!C30+Lubuski!C30+Łódzki!C30+Małopolski!C30+Mazowiecki!C30+Opolski!C30+Podkarpacki!C30+Podlaski!C30+Pomorski!C30+Śląski!C30+Świętokrzyski!C30+WarmińskoMazurski!C30+Wielkopolski!C30+Zachodniopomorski!C30</f>
        <v>0</v>
      </c>
      <c r="D30" s="14">
        <f>Dolnośląski!D30+KujawskoPomorski!D30+Lubelski!D30+Lubuski!D30+Łódzki!D30+Małopolski!D30+Mazowiecki!D30+Opolski!D30+Podkarpacki!D30+Podlaski!D30+Pomorski!D30+Śląski!D30+Świętokrzyski!D30+WarmińskoMazurski!D30+Wielkopolski!D30+Zachodniopomorski!D30</f>
        <v>0</v>
      </c>
      <c r="E30" s="43" t="str">
        <f t="shared" si="0"/>
        <v>-</v>
      </c>
      <c r="F30" s="44" t="str">
        <f t="shared" si="1"/>
        <v>-</v>
      </c>
    </row>
    <row r="31" spans="1:6" ht="33" customHeight="1" x14ac:dyDescent="0.2">
      <c r="A31" s="96" t="s">
        <v>111</v>
      </c>
      <c r="B31" s="17" t="s">
        <v>114</v>
      </c>
      <c r="C31" s="36">
        <f>Dolnośląski!C31+KujawskoPomorski!C31+Lubelski!C31+Lubuski!C31+Łódzki!C31+Małopolski!C31+Mazowiecki!C31+Opolski!C31+Podkarpacki!C31+Podlaski!C31+Pomorski!C31+Śląski!C31+Świętokrzyski!C31+WarmińskoMazurski!C31+Wielkopolski!C31+Zachodniopomorski!C31</f>
        <v>0</v>
      </c>
      <c r="D31" s="14">
        <f>Dolnośląski!D31+KujawskoPomorski!D31+Lubelski!D31+Lubuski!D31+Łódzki!D31+Małopolski!D31+Mazowiecki!D31+Opolski!D31+Podkarpacki!D31+Podlaski!D31+Pomorski!D31+Śląski!D31+Świętokrzyski!D31+WarmińskoMazurski!D31+Wielkopolski!D31+Zachodniopomorski!D31</f>
        <v>0</v>
      </c>
      <c r="E31" s="43" t="str">
        <f t="shared" si="0"/>
        <v>-</v>
      </c>
      <c r="F31" s="44" t="str">
        <f t="shared" si="1"/>
        <v>-</v>
      </c>
    </row>
    <row r="32" spans="1:6" ht="33" customHeight="1" x14ac:dyDescent="0.2">
      <c r="A32" s="96" t="s">
        <v>112</v>
      </c>
      <c r="B32" s="17" t="s">
        <v>166</v>
      </c>
      <c r="C32" s="36">
        <f>Dolnośląski!C32+KujawskoPomorski!C32+Lubelski!C32+Lubuski!C32+Łódzki!C32+Małopolski!C32+Mazowiecki!C32+Opolski!C32+Podkarpacki!C32+Podlaski!C32+Pomorski!C32+Śląski!C32+Świętokrzyski!C32+WarmińskoMazurski!C32+Wielkopolski!C32+Zachodniopomorski!C32</f>
        <v>326582</v>
      </c>
      <c r="D32" s="14">
        <f>Dolnośląski!D32+KujawskoPomorski!D32+Lubelski!D32+Lubuski!D32+Łódzki!D32+Małopolski!D32+Mazowiecki!D32+Opolski!D32+Podkarpacki!D32+Podlaski!D32+Pomorski!D32+Śląski!D32+Świętokrzyski!D32+WarmińskoMazurski!D32+Wielkopolski!D32+Zachodniopomorski!D32</f>
        <v>339310</v>
      </c>
      <c r="E32" s="43">
        <f t="shared" si="0"/>
        <v>12728</v>
      </c>
      <c r="F32" s="44">
        <f t="shared" si="1"/>
        <v>1.0389999999999999</v>
      </c>
    </row>
    <row r="33" spans="1:6" ht="42.75" customHeight="1" x14ac:dyDescent="0.2">
      <c r="A33" s="96" t="s">
        <v>223</v>
      </c>
      <c r="B33" s="17" t="s">
        <v>224</v>
      </c>
      <c r="C33" s="36">
        <f>Dolnośląski!C33+KujawskoPomorski!C33+Lubelski!C33+Lubuski!C33+Łódzki!C33+Małopolski!C33+Mazowiecki!C33+Opolski!C33+Podkarpacki!C33+Podlaski!C33+Pomorski!C33+Śląski!C33+Świętokrzyski!C33+WarmińskoMazurski!C33+Wielkopolski!C33+Zachodniopomorski!C33</f>
        <v>0</v>
      </c>
      <c r="D33" s="14">
        <f>Dolnośląski!D33+KujawskoPomorski!D33+Lubelski!D33+Lubuski!D33+Łódzki!D33+Małopolski!D33+Mazowiecki!D33+Opolski!D33+Podkarpacki!D33+Podlaski!D33+Pomorski!D33+Śląski!D33+Świętokrzyski!D33+WarmińskoMazurski!D33+Wielkopolski!D33+Zachodniopomorski!D33</f>
        <v>0</v>
      </c>
      <c r="E33" s="43" t="str">
        <f>IF(C33=D33,"-",D33-C33)</f>
        <v>-</v>
      </c>
      <c r="F33" s="44" t="str">
        <f>IF(C33=0,"-",D33/C33)</f>
        <v>-</v>
      </c>
    </row>
    <row r="34" spans="1:6" ht="33" customHeight="1" x14ac:dyDescent="0.2">
      <c r="A34" s="96" t="s">
        <v>233</v>
      </c>
      <c r="B34" s="17" t="s">
        <v>234</v>
      </c>
      <c r="C34" s="36">
        <f>Dolnośląski!C34+KujawskoPomorski!C34+Lubelski!C34+Lubuski!C34+Łódzki!C34+Małopolski!C34+Mazowiecki!C34+Opolski!C34+Podkarpacki!C34+Podlaski!C34+Pomorski!C34+Śląski!C34+Świętokrzyski!C34+WarmińskoMazurski!C34+Wielkopolski!C34+Zachodniopomorski!C34</f>
        <v>49508</v>
      </c>
      <c r="D34" s="14">
        <f>Dolnośląski!D34+KujawskoPomorski!D34+Lubelski!D34+Lubuski!D34+Łódzki!D34+Małopolski!D34+Mazowiecki!D34+Opolski!D34+Podkarpacki!D34+Podlaski!D34+Pomorski!D34+Śląski!D34+Świętokrzyski!D34+WarmińskoMazurski!D34+Wielkopolski!D34+Zachodniopomorski!D34</f>
        <v>49508</v>
      </c>
      <c r="E34" s="43" t="str">
        <f>IF(C34=D34,"-",D34-C34)</f>
        <v>-</v>
      </c>
      <c r="F34" s="44">
        <f>IF(C34=0,"-",D34/C34)</f>
        <v>1</v>
      </c>
    </row>
    <row r="35" spans="1:6" s="3" customFormat="1" ht="31.5" customHeight="1" x14ac:dyDescent="0.2">
      <c r="A35" s="97" t="s">
        <v>58</v>
      </c>
      <c r="B35" s="18" t="s">
        <v>59</v>
      </c>
      <c r="C35" s="42">
        <f>Dolnośląski!C35+KujawskoPomorski!C35+Lubelski!C35+Lubuski!C35+Łódzki!C35+Małopolski!C35+Mazowiecki!C35+Opolski!C35+Podkarpacki!C35+Podlaski!C35+Pomorski!C35+Śląski!C35+Świętokrzyski!C35+WarmińskoMazurski!C35+Wielkopolski!C35+Zachodniopomorski!C35</f>
        <v>0</v>
      </c>
      <c r="D35" s="42">
        <f>Dolnośląski!D35+KujawskoPomorski!D35+Lubelski!D35+Lubuski!D35+Łódzki!D35+Małopolski!D35+Mazowiecki!D35+Opolski!D35+Podkarpacki!D35+Podlaski!D35+Pomorski!D35+Śląski!D35+Świętokrzyski!D35+WarmińskoMazurski!D35+Wielkopolski!D35+Zachodniopomorski!D35</f>
        <v>0</v>
      </c>
      <c r="E35" s="8" t="str">
        <f t="shared" si="0"/>
        <v>-</v>
      </c>
      <c r="F35" s="45" t="str">
        <f t="shared" si="1"/>
        <v>-</v>
      </c>
    </row>
    <row r="36" spans="1:6" s="3" customFormat="1" ht="31.5" customHeight="1" x14ac:dyDescent="0.2">
      <c r="A36" s="97" t="s">
        <v>57</v>
      </c>
      <c r="B36" s="18" t="s">
        <v>60</v>
      </c>
      <c r="C36" s="42">
        <f>Dolnośląski!C36+KujawskoPomorski!C36+Lubelski!C36+Lubuski!C36+Łódzki!C36+Małopolski!C36+Mazowiecki!C36+Opolski!C36+Podkarpacki!C36+Podlaski!C36+Pomorski!C36+Śląski!C36+Świętokrzyski!C36+WarmińskoMazurski!C36+Wielkopolski!C36+Zachodniopomorski!C36</f>
        <v>1901309</v>
      </c>
      <c r="D36" s="42">
        <f>Dolnośląski!D36+KujawskoPomorski!D36+Lubelski!D36+Lubuski!D36+Łódzki!D36+Małopolski!D36+Mazowiecki!D36+Opolski!D36+Podkarpacki!D36+Podlaski!D36+Pomorski!D36+Śląski!D36+Świętokrzyski!D36+WarmińskoMazurski!D36+Wielkopolski!D36+Zachodniopomorski!D36</f>
        <v>1901309</v>
      </c>
      <c r="E36" s="8" t="str">
        <f t="shared" si="0"/>
        <v>-</v>
      </c>
      <c r="F36" s="45">
        <f t="shared" si="1"/>
        <v>1</v>
      </c>
    </row>
    <row r="37" spans="1:6" s="3" customFormat="1" ht="40.5" x14ac:dyDescent="0.2">
      <c r="A37" s="97" t="s">
        <v>235</v>
      </c>
      <c r="B37" s="18" t="s">
        <v>236</v>
      </c>
      <c r="C37" s="42">
        <f>Dolnośląski!C37+KujawskoPomorski!C37+Lubelski!C37+Lubuski!C37+Łódzki!C37+Małopolski!C37+Mazowiecki!C37+Opolski!C37+Podkarpacki!C37+Podlaski!C37+Pomorski!C37+Śląski!C37+Świętokrzyski!C37+WarmińskoMazurski!C37+Wielkopolski!C37+Zachodniopomorski!C37</f>
        <v>564300</v>
      </c>
      <c r="D37" s="42">
        <f>Dolnośląski!D37+KujawskoPomorski!D37+Lubelski!D37+Lubuski!D37+Łódzki!D37+Małopolski!D37+Mazowiecki!D37+Opolski!D37+Podkarpacki!D37+Podlaski!D37+Pomorski!D37+Śląski!D37+Świętokrzyski!D37+WarmińskoMazurski!D37+Wielkopolski!D37+Zachodniopomorski!D37</f>
        <v>564300</v>
      </c>
      <c r="E37" s="8" t="str">
        <f t="shared" si="0"/>
        <v>-</v>
      </c>
      <c r="F37" s="45">
        <f t="shared" si="1"/>
        <v>1</v>
      </c>
    </row>
    <row r="38" spans="1:6" s="3" customFormat="1" ht="42.75" customHeight="1" x14ac:dyDescent="0.2">
      <c r="A38" s="97" t="s">
        <v>157</v>
      </c>
      <c r="B38" s="18" t="s">
        <v>158</v>
      </c>
      <c r="C38" s="37">
        <f>Dolnośląski!C38+KujawskoPomorski!C38+Lubelski!C38+Lubuski!C38+Łódzki!C38+Małopolski!C38+Mazowiecki!C38+Opolski!C38+Podkarpacki!C38+Podlaski!C38+Pomorski!C38+Śląski!C38+Świętokrzyski!C38+WarmińskoMazurski!C38+Wielkopolski!C38+Zachodniopomorski!C38</f>
        <v>11843415</v>
      </c>
      <c r="D38" s="37">
        <f>Dolnośląski!D38+KujawskoPomorski!D38+Lubelski!D38+Lubuski!D38+Łódzki!D38+Małopolski!D38+Mazowiecki!D38+Opolski!D38+Podkarpacki!D38+Podlaski!D38+Pomorski!D38+Śląski!D38+Świętokrzyski!D38+WarmińskoMazurski!D38+Wielkopolski!D38+Zachodniopomorski!D38</f>
        <v>11843415</v>
      </c>
      <c r="E38" s="8" t="str">
        <f t="shared" si="0"/>
        <v>-</v>
      </c>
      <c r="F38" s="45">
        <f t="shared" si="1"/>
        <v>1</v>
      </c>
    </row>
    <row r="39" spans="1:6" ht="30" customHeight="1" x14ac:dyDescent="0.2">
      <c r="A39" s="151" t="s">
        <v>16</v>
      </c>
      <c r="B39" s="152" t="s">
        <v>228</v>
      </c>
      <c r="C39" s="135">
        <f>C40+C41+C42+C50+C52+C58+C59+C57</f>
        <v>516936</v>
      </c>
      <c r="D39" s="135">
        <f>D40+D41+D42+D50+D52+D58+D59+D57</f>
        <v>516936</v>
      </c>
      <c r="E39" s="131" t="str">
        <f t="shared" si="0"/>
        <v>-</v>
      </c>
      <c r="F39" s="153">
        <f t="shared" si="1"/>
        <v>1</v>
      </c>
    </row>
    <row r="40" spans="1:6" ht="28.5" customHeight="1" x14ac:dyDescent="0.2">
      <c r="A40" s="96" t="s">
        <v>17</v>
      </c>
      <c r="B40" s="20" t="s">
        <v>18</v>
      </c>
      <c r="C40" s="36">
        <f>Dolnośląski!C40+KujawskoPomorski!C40+Lubelski!C40+Lubuski!C40+Łódzki!C40+Małopolski!C40+Mazowiecki!C40+Opolski!C40+Podkarpacki!C40+Podlaski!C40+Pomorski!C40+Śląski!C40+Świętokrzyski!C40+WarmińskoMazurski!C40+Wielkopolski!C40+Zachodniopomorski!C40</f>
        <v>22406</v>
      </c>
      <c r="D40" s="38">
        <f>Dolnośląski!D40+KujawskoPomorski!D40+Lubelski!D40+Lubuski!D40+Łódzki!D40+Małopolski!D40+Mazowiecki!D40+Opolski!D40+Podkarpacki!D40+Podlaski!D40+Pomorski!D40+Śląski!D40+Świętokrzyski!D40+WarmińskoMazurski!D40+Wielkopolski!D40+Zachodniopomorski!D40</f>
        <v>22406</v>
      </c>
      <c r="E40" s="43" t="str">
        <f t="shared" si="0"/>
        <v>-</v>
      </c>
      <c r="F40" s="44">
        <f t="shared" si="1"/>
        <v>1</v>
      </c>
    </row>
    <row r="41" spans="1:6" ht="28.5" customHeight="1" x14ac:dyDescent="0.2">
      <c r="A41" s="96" t="s">
        <v>19</v>
      </c>
      <c r="B41" s="20" t="s">
        <v>20</v>
      </c>
      <c r="C41" s="36">
        <f>Dolnośląski!C41+KujawskoPomorski!C41+Lubelski!C41+Lubuski!C41+Łódzki!C41+Małopolski!C41+Mazowiecki!C41+Opolski!C41+Podkarpacki!C41+Podlaski!C41+Pomorski!C41+Śląski!C41+Świętokrzyski!C41+WarmińskoMazurski!C41+Wielkopolski!C41+Zachodniopomorski!C41</f>
        <v>67601</v>
      </c>
      <c r="D41" s="38">
        <f>Dolnośląski!D41+KujawskoPomorski!D41+Lubelski!D41+Lubuski!D41+Łódzki!D41+Małopolski!D41+Mazowiecki!D41+Opolski!D41+Podkarpacki!D41+Podlaski!D41+Pomorski!D41+Śląski!D41+Świętokrzyski!D41+WarmińskoMazurski!D41+Wielkopolski!D41+Zachodniopomorski!D41</f>
        <v>67601</v>
      </c>
      <c r="E41" s="43" t="str">
        <f t="shared" si="0"/>
        <v>-</v>
      </c>
      <c r="F41" s="44">
        <f t="shared" si="1"/>
        <v>1</v>
      </c>
    </row>
    <row r="42" spans="1:6" ht="28.5" customHeight="1" x14ac:dyDescent="0.2">
      <c r="A42" s="96" t="s">
        <v>21</v>
      </c>
      <c r="B42" s="21" t="s">
        <v>229</v>
      </c>
      <c r="C42" s="38">
        <f>C43+C45+C46+C47+C48+C49</f>
        <v>3952</v>
      </c>
      <c r="D42" s="38">
        <f>D43+D45+D46+D47+D48+D49</f>
        <v>3952</v>
      </c>
      <c r="E42" s="43" t="str">
        <f t="shared" si="0"/>
        <v>-</v>
      </c>
      <c r="F42" s="44">
        <f t="shared" si="1"/>
        <v>1</v>
      </c>
    </row>
    <row r="43" spans="1:6" ht="28.5" customHeight="1" x14ac:dyDescent="0.2">
      <c r="A43" s="99" t="s">
        <v>39</v>
      </c>
      <c r="B43" s="90" t="s">
        <v>32</v>
      </c>
      <c r="C43" s="36">
        <f>Dolnośląski!C43+KujawskoPomorski!C43+Lubelski!C43+Lubuski!C43+Łódzki!C43+Małopolski!C43+Mazowiecki!C43+Opolski!C43+Podkarpacki!C43+Podlaski!C43+Pomorski!C43+Śląski!C43+Świętokrzyski!C43+WarmińskoMazurski!C43+Wielkopolski!C43+Zachodniopomorski!C43</f>
        <v>514</v>
      </c>
      <c r="D43" s="38">
        <f>Dolnośląski!D43+KujawskoPomorski!D43+Lubelski!D43+Lubuski!D43+Łódzki!D43+Małopolski!D43+Mazowiecki!D43+Opolski!D43+Podkarpacki!D43+Podlaski!D43+Pomorski!D43+Śląski!D43+Świętokrzyski!D43+WarmińskoMazurski!D43+Wielkopolski!D43+Zachodniopomorski!D43</f>
        <v>514</v>
      </c>
      <c r="E43" s="43" t="str">
        <f t="shared" si="0"/>
        <v>-</v>
      </c>
      <c r="F43" s="44">
        <f t="shared" si="1"/>
        <v>1</v>
      </c>
    </row>
    <row r="44" spans="1:6" ht="28.5" customHeight="1" x14ac:dyDescent="0.2">
      <c r="A44" s="99" t="s">
        <v>40</v>
      </c>
      <c r="B44" s="91" t="s">
        <v>33</v>
      </c>
      <c r="C44" s="36">
        <f>Dolnośląski!C44+KujawskoPomorski!C44+Lubelski!C44+Lubuski!C44+Łódzki!C44+Małopolski!C44+Mazowiecki!C44+Opolski!C44+Podkarpacki!C44+Podlaski!C44+Pomorski!C44+Śląski!C44+Świętokrzyski!C44+WarmińskoMazurski!C44+Wielkopolski!C44+Zachodniopomorski!C44</f>
        <v>511</v>
      </c>
      <c r="D44" s="38">
        <f>Dolnośląski!D44+KujawskoPomorski!D44+Lubelski!D44+Lubuski!D44+Łódzki!D44+Małopolski!D44+Mazowiecki!D44+Opolski!D44+Podkarpacki!D44+Podlaski!D44+Pomorski!D44+Śląski!D44+Świętokrzyski!D44+WarmińskoMazurski!D44+Wielkopolski!D44+Zachodniopomorski!D44</f>
        <v>511</v>
      </c>
      <c r="E44" s="43" t="str">
        <f t="shared" si="0"/>
        <v>-</v>
      </c>
      <c r="F44" s="44">
        <f t="shared" si="1"/>
        <v>1</v>
      </c>
    </row>
    <row r="45" spans="1:6" ht="28.5" customHeight="1" x14ac:dyDescent="0.2">
      <c r="A45" s="99" t="s">
        <v>41</v>
      </c>
      <c r="B45" s="90" t="s">
        <v>34</v>
      </c>
      <c r="C45" s="36">
        <f>Dolnośląski!C45+KujawskoPomorski!C45+Lubelski!C45+Lubuski!C45+Łódzki!C45+Małopolski!C45+Mazowiecki!C45+Opolski!C45+Podkarpacki!C45+Podlaski!C45+Pomorski!C45+Śląski!C45+Świętokrzyski!C45+WarmińskoMazurski!C45+Wielkopolski!C45+Zachodniopomorski!C45</f>
        <v>582</v>
      </c>
      <c r="D45" s="38">
        <f>Dolnośląski!D45+KujawskoPomorski!D45+Lubelski!D45+Lubuski!D45+Łódzki!D45+Małopolski!D45+Mazowiecki!D45+Opolski!D45+Podkarpacki!D45+Podlaski!D45+Pomorski!D45+Śląski!D45+Świętokrzyski!D45+WarmińskoMazurski!D45+Wielkopolski!D45+Zachodniopomorski!D45</f>
        <v>582</v>
      </c>
      <c r="E45" s="43" t="str">
        <f t="shared" si="0"/>
        <v>-</v>
      </c>
      <c r="F45" s="44">
        <f t="shared" si="1"/>
        <v>1</v>
      </c>
    </row>
    <row r="46" spans="1:6" ht="28.5" customHeight="1" x14ac:dyDescent="0.2">
      <c r="A46" s="99" t="s">
        <v>42</v>
      </c>
      <c r="B46" s="90" t="s">
        <v>35</v>
      </c>
      <c r="C46" s="36">
        <f>Dolnośląski!C46+KujawskoPomorski!C46+Lubelski!C46+Lubuski!C46+Łódzki!C46+Małopolski!C46+Mazowiecki!C46+Opolski!C46+Podkarpacki!C46+Podlaski!C46+Pomorski!C46+Śląski!C46+Świętokrzyski!C46+WarmińskoMazurski!C46+Wielkopolski!C46+Zachodniopomorski!C46</f>
        <v>5</v>
      </c>
      <c r="D46" s="38">
        <f>Dolnośląski!D46+KujawskoPomorski!D46+Lubelski!D46+Lubuski!D46+Łódzki!D46+Małopolski!D46+Mazowiecki!D46+Opolski!D46+Podkarpacki!D46+Podlaski!D46+Pomorski!D46+Śląski!D46+Świętokrzyski!D46+WarmińskoMazurski!D46+Wielkopolski!D46+Zachodniopomorski!D46</f>
        <v>5</v>
      </c>
      <c r="E46" s="43" t="str">
        <f t="shared" si="0"/>
        <v>-</v>
      </c>
      <c r="F46" s="44">
        <f t="shared" si="1"/>
        <v>1</v>
      </c>
    </row>
    <row r="47" spans="1:6" ht="28.5" customHeight="1" x14ac:dyDescent="0.2">
      <c r="A47" s="99" t="s">
        <v>43</v>
      </c>
      <c r="B47" s="90" t="s">
        <v>36</v>
      </c>
      <c r="C47" s="36">
        <f>Dolnośląski!C47+KujawskoPomorski!C47+Lubelski!C47+Lubuski!C47+Łódzki!C47+Małopolski!C47+Mazowiecki!C47+Opolski!C47+Podkarpacki!C47+Podlaski!C47+Pomorski!C47+Śląski!C47+Świętokrzyski!C47+WarmińskoMazurski!C47+Wielkopolski!C47+Zachodniopomorski!C47</f>
        <v>0</v>
      </c>
      <c r="D47" s="38">
        <f>Dolnośląski!D47+KujawskoPomorski!D47+Lubelski!D47+Lubuski!D47+Łódzki!D47+Małopolski!D47+Mazowiecki!D47+Opolski!D47+Podkarpacki!D47+Podlaski!D47+Pomorski!D47+Śląski!D47+Świętokrzyski!D47+WarmińskoMazurski!D47+Wielkopolski!D47+Zachodniopomorski!D47</f>
        <v>0</v>
      </c>
      <c r="E47" s="43" t="str">
        <f t="shared" si="0"/>
        <v>-</v>
      </c>
      <c r="F47" s="44" t="str">
        <f t="shared" si="1"/>
        <v>-</v>
      </c>
    </row>
    <row r="48" spans="1:6" ht="28.5" customHeight="1" x14ac:dyDescent="0.2">
      <c r="A48" s="99" t="s">
        <v>44</v>
      </c>
      <c r="B48" s="90" t="s">
        <v>37</v>
      </c>
      <c r="C48" s="36">
        <f>Dolnośląski!C48+KujawskoPomorski!C48+Lubelski!C48+Lubuski!C48+Łódzki!C48+Małopolski!C48+Mazowiecki!C48+Opolski!C48+Podkarpacki!C48+Podlaski!C48+Pomorski!C48+Śląski!C48+Świętokrzyski!C48+WarmińskoMazurski!C48+Wielkopolski!C48+Zachodniopomorski!C48</f>
        <v>2578</v>
      </c>
      <c r="D48" s="38">
        <f>Dolnośląski!D48+KujawskoPomorski!D48+Lubelski!D48+Lubuski!D48+Łódzki!D48+Małopolski!D48+Mazowiecki!D48+Opolski!D48+Podkarpacki!D48+Podlaski!D48+Pomorski!D48+Śląski!D48+Świętokrzyski!D48+WarmińskoMazurski!D48+Wielkopolski!D48+Zachodniopomorski!D48</f>
        <v>2578</v>
      </c>
      <c r="E48" s="43" t="str">
        <f t="shared" si="0"/>
        <v>-</v>
      </c>
      <c r="F48" s="44">
        <f t="shared" si="1"/>
        <v>1</v>
      </c>
    </row>
    <row r="49" spans="1:6" ht="28.5" customHeight="1" x14ac:dyDescent="0.2">
      <c r="A49" s="99" t="s">
        <v>45</v>
      </c>
      <c r="B49" s="90" t="s">
        <v>38</v>
      </c>
      <c r="C49" s="36">
        <f>Dolnośląski!C49+KujawskoPomorski!C49+Lubelski!C49+Lubuski!C49+Łódzki!C49+Małopolski!C49+Mazowiecki!C49+Opolski!C49+Podkarpacki!C49+Podlaski!C49+Pomorski!C49+Śląski!C49+Świętokrzyski!C49+WarmińskoMazurski!C49+Wielkopolski!C49+Zachodniopomorski!C49</f>
        <v>273</v>
      </c>
      <c r="D49" s="38">
        <f>Dolnośląski!D49+KujawskoPomorski!D49+Lubelski!D49+Lubuski!D49+Łódzki!D49+Małopolski!D49+Mazowiecki!D49+Opolski!D49+Podkarpacki!D49+Podlaski!D49+Pomorski!D49+Śląski!D49+Świętokrzyski!D49+WarmińskoMazurski!D49+Wielkopolski!D49+Zachodniopomorski!D49</f>
        <v>273</v>
      </c>
      <c r="E49" s="43" t="str">
        <f t="shared" si="0"/>
        <v>-</v>
      </c>
      <c r="F49" s="44">
        <f t="shared" si="1"/>
        <v>1</v>
      </c>
    </row>
    <row r="50" spans="1:6" ht="28.5" customHeight="1" x14ac:dyDescent="0.2">
      <c r="A50" s="96" t="s">
        <v>22</v>
      </c>
      <c r="B50" s="20" t="s">
        <v>159</v>
      </c>
      <c r="C50" s="36">
        <f>Dolnośląski!C50+KujawskoPomorski!C50+Lubelski!C50+Lubuski!C50+Łódzki!C50+Małopolski!C50+Mazowiecki!C50+Opolski!C50+Podkarpacki!C50+Podlaski!C50+Pomorski!C50+Śląski!C50+Świętokrzyski!C50+WarmińskoMazurski!C50+Wielkopolski!C50+Zachodniopomorski!C50</f>
        <v>303133</v>
      </c>
      <c r="D50" s="38">
        <f>Dolnośląski!D50+KujawskoPomorski!D50+Lubelski!D50+Lubuski!D50+Łódzki!D50+Małopolski!D50+Mazowiecki!D50+Opolski!D50+Podkarpacki!D50+Podlaski!D50+Pomorski!D50+Śląski!D50+Świętokrzyski!D50+WarmińskoMazurski!D50+Wielkopolski!D50+Zachodniopomorski!D50</f>
        <v>303133</v>
      </c>
      <c r="E50" s="43" t="str">
        <f t="shared" si="0"/>
        <v>-</v>
      </c>
      <c r="F50" s="44">
        <f t="shared" si="1"/>
        <v>1</v>
      </c>
    </row>
    <row r="51" spans="1:6" ht="28.5" customHeight="1" x14ac:dyDescent="0.2">
      <c r="A51" s="99" t="s">
        <v>160</v>
      </c>
      <c r="B51" s="90" t="s">
        <v>161</v>
      </c>
      <c r="C51" s="36">
        <f>Dolnośląski!C51+KujawskoPomorski!C51+Lubelski!C51+Lubuski!C51+Łódzki!C51+Małopolski!C51+Mazowiecki!C51+Opolski!C51+Podkarpacki!C51+Podlaski!C51+Pomorski!C51+Śląski!C51+Świętokrzyski!C51+WarmińskoMazurski!C51+Wielkopolski!C51+Zachodniopomorski!C51</f>
        <v>1118</v>
      </c>
      <c r="D51" s="38">
        <f>Dolnośląski!D51+KujawskoPomorski!D51+Lubelski!D51+Lubuski!D51+Łódzki!D51+Małopolski!D51+Mazowiecki!D51+Opolski!D51+Podkarpacki!D51+Podlaski!D51+Pomorski!D51+Śląski!D51+Świętokrzyski!D51+WarmińskoMazurski!D51+Wielkopolski!D51+Zachodniopomorski!D51</f>
        <v>1118</v>
      </c>
      <c r="E51" s="43" t="str">
        <f t="shared" si="0"/>
        <v>-</v>
      </c>
      <c r="F51" s="44">
        <f t="shared" si="1"/>
        <v>1</v>
      </c>
    </row>
    <row r="52" spans="1:6" ht="28.5" customHeight="1" x14ac:dyDescent="0.2">
      <c r="A52" s="96" t="s">
        <v>23</v>
      </c>
      <c r="B52" s="21" t="s">
        <v>227</v>
      </c>
      <c r="C52" s="34">
        <f>C53+C54+C55+C56</f>
        <v>68168</v>
      </c>
      <c r="D52" s="34">
        <f>D53+D54+D55+D56</f>
        <v>68168</v>
      </c>
      <c r="E52" s="43" t="str">
        <f t="shared" si="0"/>
        <v>-</v>
      </c>
      <c r="F52" s="44">
        <f t="shared" si="1"/>
        <v>1</v>
      </c>
    </row>
    <row r="53" spans="1:6" ht="28.5" customHeight="1" x14ac:dyDescent="0.2">
      <c r="A53" s="99" t="s">
        <v>50</v>
      </c>
      <c r="B53" s="90" t="s">
        <v>46</v>
      </c>
      <c r="C53" s="36">
        <f>Dolnośląski!C53+KujawskoPomorski!C53+Lubelski!C53+Lubuski!C53+Łódzki!C53+Małopolski!C53+Mazowiecki!C53+Opolski!C53+Podkarpacki!C53+Podlaski!C53+Pomorski!C53+Śląski!C53+Świętokrzyski!C53+WarmińskoMazurski!C53+Wielkopolski!C53+Zachodniopomorski!C53</f>
        <v>51866</v>
      </c>
      <c r="D53" s="38">
        <f>Dolnośląski!D53+KujawskoPomorski!D53+Lubelski!D53+Lubuski!D53+Łódzki!D53+Małopolski!D53+Mazowiecki!D53+Opolski!D53+Podkarpacki!D53+Podlaski!D53+Pomorski!D53+Śląski!D53+Świętokrzyski!D53+WarmińskoMazurski!D53+Wielkopolski!D53+Zachodniopomorski!D53</f>
        <v>51866</v>
      </c>
      <c r="E53" s="43" t="str">
        <f t="shared" si="0"/>
        <v>-</v>
      </c>
      <c r="F53" s="44">
        <f t="shared" si="1"/>
        <v>1</v>
      </c>
    </row>
    <row r="54" spans="1:6" ht="28.5" customHeight="1" x14ac:dyDescent="0.2">
      <c r="A54" s="99" t="s">
        <v>51</v>
      </c>
      <c r="B54" s="90" t="s">
        <v>47</v>
      </c>
      <c r="C54" s="36">
        <f>Dolnośląski!C54+KujawskoPomorski!C54+Lubelski!C54+Lubuski!C54+Łódzki!C54+Małopolski!C54+Mazowiecki!C54+Opolski!C54+Podkarpacki!C54+Podlaski!C54+Pomorski!C54+Śląski!C54+Świętokrzyski!C54+WarmińskoMazurski!C54+Wielkopolski!C54+Zachodniopomorski!C54</f>
        <v>7252</v>
      </c>
      <c r="D54" s="38">
        <f>Dolnośląski!D54+KujawskoPomorski!D54+Lubelski!D54+Lubuski!D54+Łódzki!D54+Małopolski!D54+Mazowiecki!D54+Opolski!D54+Podkarpacki!D54+Podlaski!D54+Pomorski!D54+Śląski!D54+Świętokrzyski!D54+WarmińskoMazurski!D54+Wielkopolski!D54+Zachodniopomorski!D54</f>
        <v>7252</v>
      </c>
      <c r="E54" s="43" t="str">
        <f t="shared" si="0"/>
        <v>-</v>
      </c>
      <c r="F54" s="44">
        <f t="shared" si="1"/>
        <v>1</v>
      </c>
    </row>
    <row r="55" spans="1:6" ht="28.5" customHeight="1" x14ac:dyDescent="0.2">
      <c r="A55" s="99" t="s">
        <v>52</v>
      </c>
      <c r="B55" s="90" t="s">
        <v>48</v>
      </c>
      <c r="C55" s="36">
        <f>Dolnośląski!C55+KujawskoPomorski!C55+Lubelski!C55+Lubuski!C55+Łódzki!C55+Małopolski!C55+Mazowiecki!C55+Opolski!C55+Podkarpacki!C55+Podlaski!C55+Pomorski!C55+Śląski!C55+Świętokrzyski!C55+WarmińskoMazurski!C55+Wielkopolski!C55+Zachodniopomorski!C55</f>
        <v>0</v>
      </c>
      <c r="D55" s="38">
        <f>Dolnośląski!D55+KujawskoPomorski!D55+Lubelski!D55+Lubuski!D55+Łódzki!D55+Małopolski!D55+Mazowiecki!D55+Opolski!D55+Podkarpacki!D55+Podlaski!D55+Pomorski!D55+Śląski!D55+Świętokrzyski!D55+WarmińskoMazurski!D55+Wielkopolski!D55+Zachodniopomorski!D55</f>
        <v>0</v>
      </c>
      <c r="E55" s="43" t="str">
        <f t="shared" si="0"/>
        <v>-</v>
      </c>
      <c r="F55" s="44" t="str">
        <f t="shared" si="1"/>
        <v>-</v>
      </c>
    </row>
    <row r="56" spans="1:6" ht="28.5" customHeight="1" x14ac:dyDescent="0.2">
      <c r="A56" s="99" t="s">
        <v>53</v>
      </c>
      <c r="B56" s="90" t="s">
        <v>49</v>
      </c>
      <c r="C56" s="36">
        <f>Dolnośląski!C56+KujawskoPomorski!C56+Lubelski!C56+Lubuski!C56+Łódzki!C56+Małopolski!C56+Mazowiecki!C56+Opolski!C56+Podkarpacki!C56+Podlaski!C56+Pomorski!C56+Śląski!C56+Świętokrzyski!C56+WarmińskoMazurski!C56+Wielkopolski!C56+Zachodniopomorski!C56</f>
        <v>9050</v>
      </c>
      <c r="D56" s="38">
        <f>Dolnośląski!D56+KujawskoPomorski!D56+Lubelski!D56+Lubuski!D56+Łódzki!D56+Małopolski!D56+Mazowiecki!D56+Opolski!D56+Podkarpacki!D56+Podlaski!D56+Pomorski!D56+Śląski!D56+Świętokrzyski!D56+WarmińskoMazurski!D56+Wielkopolski!D56+Zachodniopomorski!D56</f>
        <v>9050</v>
      </c>
      <c r="E56" s="43" t="str">
        <f t="shared" si="0"/>
        <v>-</v>
      </c>
      <c r="F56" s="44">
        <f t="shared" si="1"/>
        <v>1</v>
      </c>
    </row>
    <row r="57" spans="1:6" ht="28.5" customHeight="1" x14ac:dyDescent="0.2">
      <c r="A57" s="96" t="s">
        <v>24</v>
      </c>
      <c r="B57" s="20" t="s">
        <v>25</v>
      </c>
      <c r="C57" s="36">
        <f>Dolnośląski!C57+KujawskoPomorski!C57+Lubelski!C57+Lubuski!C57+Łódzki!C57+Małopolski!C57+Mazowiecki!C57+Opolski!C57+Podkarpacki!C57+Podlaski!C57+Pomorski!C57+Śląski!C57+Świętokrzyski!C57+WarmińskoMazurski!C57+Wielkopolski!C57+Zachodniopomorski!C57</f>
        <v>0</v>
      </c>
      <c r="D57" s="38">
        <f>Dolnośląski!D57+KujawskoPomorski!D57+Lubelski!D57+Lubuski!D57+Łódzki!D57+Małopolski!D57+Mazowiecki!D57+Opolski!D57+Podkarpacki!D57+Podlaski!D57+Pomorski!D57+Śląski!D57+Świętokrzyski!D57+WarmińskoMazurski!D57+Wielkopolski!D57+Zachodniopomorski!D57</f>
        <v>0</v>
      </c>
      <c r="E57" s="43" t="str">
        <f t="shared" si="0"/>
        <v>-</v>
      </c>
      <c r="F57" s="44" t="str">
        <f t="shared" si="1"/>
        <v>-</v>
      </c>
    </row>
    <row r="58" spans="1:6" ht="28.5" customHeight="1" x14ac:dyDescent="0.2">
      <c r="A58" s="96" t="s">
        <v>26</v>
      </c>
      <c r="B58" s="20" t="s">
        <v>162</v>
      </c>
      <c r="C58" s="36">
        <f>Dolnośląski!C58+KujawskoPomorski!C58+Lubelski!C58+Lubuski!C58+Łódzki!C58+Małopolski!C58+Mazowiecki!C58+Opolski!C58+Podkarpacki!C58+Podlaski!C58+Pomorski!C58+Śląski!C58+Świętokrzyski!C58+WarmińskoMazurski!C58+Wielkopolski!C58+Zachodniopomorski!C58</f>
        <v>47282</v>
      </c>
      <c r="D58" s="38">
        <f>Dolnośląski!D58+KujawskoPomorski!D58+Lubelski!D58+Lubuski!D58+Łódzki!D58+Małopolski!D58+Mazowiecki!D58+Opolski!D58+Podkarpacki!D58+Podlaski!D58+Pomorski!D58+Śląski!D58+Świętokrzyski!D58+WarmińskoMazurski!D58+Wielkopolski!D58+Zachodniopomorski!D58</f>
        <v>47282</v>
      </c>
      <c r="E58" s="43" t="str">
        <f t="shared" si="0"/>
        <v>-</v>
      </c>
      <c r="F58" s="46">
        <f t="shared" si="1"/>
        <v>1</v>
      </c>
    </row>
    <row r="59" spans="1:6" ht="28.5" customHeight="1" x14ac:dyDescent="0.2">
      <c r="A59" s="96" t="s">
        <v>27</v>
      </c>
      <c r="B59" s="20" t="s">
        <v>28</v>
      </c>
      <c r="C59" s="36">
        <f>Dolnośląski!C59+KujawskoPomorski!C59+Lubelski!C59+Lubuski!C59+Łódzki!C59+Małopolski!C59+Mazowiecki!C59+Opolski!C59+Podkarpacki!C59+Podlaski!C59+Pomorski!C59+Śląski!C59+Świętokrzyski!C59+WarmińskoMazurski!C59+Wielkopolski!C59+Zachodniopomorski!C59</f>
        <v>4394</v>
      </c>
      <c r="D59" s="38">
        <f>Dolnośląski!D59+KujawskoPomorski!D59+Lubelski!D59+Lubuski!D59+Łódzki!D59+Małopolski!D59+Mazowiecki!D59+Opolski!D59+Podkarpacki!D59+Podlaski!D59+Pomorski!D59+Śląski!D59+Świętokrzyski!D59+WarmińskoMazurski!D59+Wielkopolski!D59+Zachodniopomorski!D59</f>
        <v>4394</v>
      </c>
      <c r="E59" s="43" t="str">
        <f t="shared" si="0"/>
        <v>-</v>
      </c>
      <c r="F59" s="44">
        <f t="shared" si="1"/>
        <v>1</v>
      </c>
    </row>
    <row r="60" spans="1:6" ht="30" customHeight="1" x14ac:dyDescent="0.2">
      <c r="A60" s="142" t="s">
        <v>135</v>
      </c>
      <c r="B60" s="143" t="s">
        <v>163</v>
      </c>
      <c r="C60" s="154">
        <f>C61+C62+C63+C64</f>
        <v>226121</v>
      </c>
      <c r="D60" s="154">
        <f>D61+D62+D63+D64</f>
        <v>226121</v>
      </c>
      <c r="E60" s="131" t="str">
        <f t="shared" si="0"/>
        <v>-</v>
      </c>
      <c r="F60" s="155">
        <f t="shared" si="1"/>
        <v>1</v>
      </c>
    </row>
    <row r="61" spans="1:6" ht="42" customHeight="1" x14ac:dyDescent="0.2">
      <c r="A61" s="96" t="s">
        <v>101</v>
      </c>
      <c r="B61" s="20" t="s">
        <v>115</v>
      </c>
      <c r="C61" s="36">
        <f>Dolnośląski!C61+KujawskoPomorski!C61+Lubelski!C61+Lubuski!C61+Łódzki!C61+Małopolski!C61+Mazowiecki!C61+Opolski!C61+Podkarpacki!C61+Podlaski!C61+Pomorski!C61+Śląski!C61+Świętokrzyski!C61+WarmińskoMazurski!C61+Wielkopolski!C61+Zachodniopomorski!C61</f>
        <v>394</v>
      </c>
      <c r="D61" s="38">
        <f>Dolnośląski!D61+KujawskoPomorski!D61+Lubelski!D61+Lubuski!D61+Łódzki!D61+Małopolski!D61+Mazowiecki!D61+Opolski!D61+Podkarpacki!D61+Podlaski!D61+Pomorski!D61+Śląski!D61+Świętokrzyski!D61+WarmińskoMazurski!D61+Wielkopolski!D61+Zachodniopomorski!D61</f>
        <v>394</v>
      </c>
      <c r="E61" s="34" t="str">
        <f t="shared" si="0"/>
        <v>-</v>
      </c>
      <c r="F61" s="44">
        <f t="shared" si="1"/>
        <v>1</v>
      </c>
    </row>
    <row r="62" spans="1:6" ht="31.5" customHeight="1" x14ac:dyDescent="0.2">
      <c r="A62" s="96" t="s">
        <v>30</v>
      </c>
      <c r="B62" s="20" t="s">
        <v>55</v>
      </c>
      <c r="C62" s="36">
        <f>Dolnośląski!C62+KujawskoPomorski!C62+Lubelski!C62+Lubuski!C62+Łódzki!C62+Małopolski!C62+Mazowiecki!C62+Opolski!C62+Podkarpacki!C62+Podlaski!C62+Pomorski!C62+Śląski!C62+Świętokrzyski!C62+WarmińskoMazurski!C62+Wielkopolski!C62+Zachodniopomorski!C62</f>
        <v>191158</v>
      </c>
      <c r="D62" s="38">
        <f>Dolnośląski!D62+KujawskoPomorski!D62+Lubelski!D62+Lubuski!D62+Łódzki!D62+Małopolski!D62+Mazowiecki!D62+Opolski!D62+Podkarpacki!D62+Podlaski!D62+Pomorski!D62+Śląski!D62+Świętokrzyski!D62+WarmińskoMazurski!D62+Wielkopolski!D62+Zachodniopomorski!D62</f>
        <v>191158</v>
      </c>
      <c r="E62" s="34" t="str">
        <f t="shared" si="0"/>
        <v>-</v>
      </c>
      <c r="F62" s="44">
        <f t="shared" si="1"/>
        <v>1</v>
      </c>
    </row>
    <row r="63" spans="1:6" ht="31.5" customHeight="1" x14ac:dyDescent="0.2">
      <c r="A63" s="96" t="s">
        <v>31</v>
      </c>
      <c r="B63" s="20" t="s">
        <v>103</v>
      </c>
      <c r="C63" s="36">
        <f>Dolnośląski!C63+KujawskoPomorski!C63+Lubelski!C63+Lubuski!C63+Łódzki!C63+Małopolski!C63+Mazowiecki!C63+Opolski!C63+Podkarpacki!C63+Podlaski!C63+Pomorski!C63+Śląski!C63+Świętokrzyski!C63+WarmińskoMazurski!C63+Wielkopolski!C63+Zachodniopomorski!C63</f>
        <v>0</v>
      </c>
      <c r="D63" s="38">
        <f>Dolnośląski!D63+KujawskoPomorski!D63+Lubelski!D63+Lubuski!D63+Łódzki!D63+Małopolski!D63+Mazowiecki!D63+Opolski!D63+Podkarpacki!D63+Podlaski!D63+Pomorski!D63+Śląski!D63+Świętokrzyski!D63+WarmińskoMazurski!D63+Wielkopolski!D63+Zachodniopomorski!D63</f>
        <v>0</v>
      </c>
      <c r="E63" s="34" t="str">
        <f t="shared" si="0"/>
        <v>-</v>
      </c>
      <c r="F63" s="44" t="str">
        <f t="shared" si="1"/>
        <v>-</v>
      </c>
    </row>
    <row r="64" spans="1:6" ht="31.5" customHeight="1" x14ac:dyDescent="0.2">
      <c r="A64" s="96" t="s">
        <v>102</v>
      </c>
      <c r="B64" s="20" t="s">
        <v>104</v>
      </c>
      <c r="C64" s="36">
        <f>Dolnośląski!C64+KujawskoPomorski!C64+Lubelski!C64+Lubuski!C64+Łódzki!C64+Małopolski!C64+Mazowiecki!C64+Opolski!C64+Podkarpacki!C64+Podlaski!C64+Pomorski!C64+Śląski!C64+Świętokrzyski!C64+WarmińskoMazurski!C64+Wielkopolski!C64+Zachodniopomorski!C64</f>
        <v>34569</v>
      </c>
      <c r="D64" s="38">
        <f>Dolnośląski!D64+KujawskoPomorski!D64+Lubelski!D64+Lubuski!D64+Łódzki!D64+Małopolski!D64+Mazowiecki!D64+Opolski!D64+Podkarpacki!D64+Podlaski!D64+Pomorski!D64+Śląski!D64+Świętokrzyski!D64+WarmińskoMazurski!D64+Wielkopolski!D64+Zachodniopomorski!D64</f>
        <v>34569</v>
      </c>
      <c r="E64" s="34" t="str">
        <f t="shared" si="0"/>
        <v>-</v>
      </c>
      <c r="F64" s="44">
        <f t="shared" si="1"/>
        <v>1</v>
      </c>
    </row>
    <row r="65" spans="1:6" ht="32.25" customHeight="1" x14ac:dyDescent="0.2">
      <c r="A65" s="142" t="s">
        <v>137</v>
      </c>
      <c r="B65" s="143" t="s">
        <v>116</v>
      </c>
      <c r="C65" s="154">
        <f>Dolnośląski!C65+KujawskoPomorski!C65+Lubelski!C65+Lubuski!C65+Łódzki!C65+Małopolski!C65+Mazowiecki!C65+Opolski!C65+Podkarpacki!C65+Podlaski!C65+Pomorski!C65+Śląski!C65+Świętokrzyski!C65+WarmińskoMazurski!C65+Wielkopolski!C65+Zachodniopomorski!C65</f>
        <v>55871</v>
      </c>
      <c r="D65" s="154">
        <f>Dolnośląski!D65+KujawskoPomorski!D65+Lubelski!D65+Lubuski!D65+Łódzki!D65+Małopolski!D65+Mazowiecki!D65+Opolski!D65+Podkarpacki!D65+Podlaski!D65+Pomorski!D65+Śląski!D65+Świętokrzyski!D65+WarmińskoMazurski!D65+Wielkopolski!D65+Zachodniopomorski!D65</f>
        <v>55871</v>
      </c>
      <c r="E65" s="131" t="str">
        <f t="shared" si="0"/>
        <v>-</v>
      </c>
      <c r="F65" s="155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  <ignoredErrors>
    <ignoredError sqref="C58 C9:C10 C7:C8 C11:C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ySplit="6" topLeftCell="A7" activePane="bottomLeft" state="frozen"/>
      <selection activeCell="A2" sqref="A2:B2"/>
      <selection pane="bottomLeft" activeCell="A2" sqref="A2:B2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5.7109375" style="2" customWidth="1"/>
    <col min="4" max="4" width="26.85546875" style="2" customWidth="1"/>
    <col min="5" max="5" width="25.140625" style="2" customWidth="1"/>
    <col min="6" max="6" width="20.7109375" style="2" customWidth="1"/>
    <col min="7" max="16384" width="9.140625" style="2"/>
  </cols>
  <sheetData>
    <row r="1" spans="1:6" s="24" customFormat="1" ht="46.5" customHeight="1" x14ac:dyDescent="0.2">
      <c r="A1" s="160" t="str">
        <f>NFZ!A1</f>
        <v>ZMIANA PLANU FINANSOWEGO NARODOWEGO FUNDUSZU ZDROWIA NA 2017 ROK Z DNIA 18 LIPCA 2017 R.</v>
      </c>
      <c r="B1" s="160"/>
      <c r="C1" s="160"/>
      <c r="D1" s="160"/>
      <c r="E1" s="160"/>
      <c r="F1" s="160"/>
    </row>
    <row r="2" spans="1:6" s="26" customFormat="1" ht="33" customHeight="1" x14ac:dyDescent="0.2">
      <c r="A2" s="115" t="s">
        <v>61</v>
      </c>
      <c r="B2" s="115"/>
      <c r="C2" s="116"/>
    </row>
    <row r="3" spans="1:6" ht="33" customHeight="1" x14ac:dyDescent="0.25">
      <c r="A3" s="5"/>
      <c r="B3" s="6"/>
      <c r="C3" s="40"/>
      <c r="D3" s="40"/>
      <c r="E3" s="40" t="s">
        <v>141</v>
      </c>
      <c r="F3" s="7"/>
    </row>
    <row r="4" spans="1:6" s="117" customFormat="1" ht="65.099999999999994" customHeight="1" x14ac:dyDescent="0.2">
      <c r="A4" s="124" t="s">
        <v>118</v>
      </c>
      <c r="B4" s="124" t="s">
        <v>54</v>
      </c>
      <c r="C4" s="125" t="s">
        <v>230</v>
      </c>
      <c r="D4" s="125" t="s">
        <v>171</v>
      </c>
      <c r="E4" s="126" t="s">
        <v>172</v>
      </c>
      <c r="F4" s="126" t="s">
        <v>173</v>
      </c>
    </row>
    <row r="5" spans="1:6" s="118" customFormat="1" ht="14.25" x14ac:dyDescent="0.2">
      <c r="A5" s="127">
        <v>1</v>
      </c>
      <c r="B5" s="128">
        <v>2</v>
      </c>
      <c r="C5" s="127">
        <v>3</v>
      </c>
      <c r="D5" s="128">
        <v>4</v>
      </c>
      <c r="E5" s="127">
        <v>5</v>
      </c>
      <c r="F5" s="128">
        <v>6</v>
      </c>
    </row>
    <row r="6" spans="1:6" ht="30" customHeight="1" x14ac:dyDescent="0.2">
      <c r="A6" s="101" t="s">
        <v>0</v>
      </c>
      <c r="B6" s="73" t="s">
        <v>232</v>
      </c>
      <c r="C6" s="150">
        <f>C7+C8+C9+C14+C15+C16+C17+C18+C19+C20+C21+C22+C23+C24+C28+C29+C31+C32+C33+C34</f>
        <v>5409592</v>
      </c>
      <c r="D6" s="150">
        <f>D7+D8+D9+D14+D15+D16+D17+D18+D19+D20+D21+D22+D23+D24+D28+D29+D31+D32+D33+D34</f>
        <v>5517245</v>
      </c>
      <c r="E6" s="131">
        <f>IF(C6=D6,"-",D6-C6)</f>
        <v>107653</v>
      </c>
      <c r="F6" s="148">
        <f>IF(C6=0,"-",D6/C6)</f>
        <v>1.0199</v>
      </c>
    </row>
    <row r="7" spans="1:6" ht="33" customHeight="1" x14ac:dyDescent="0.2">
      <c r="A7" s="93" t="s">
        <v>1</v>
      </c>
      <c r="B7" s="15" t="s">
        <v>119</v>
      </c>
      <c r="C7" s="36">
        <v>746998</v>
      </c>
      <c r="D7" s="14">
        <f>C7</f>
        <v>746998</v>
      </c>
      <c r="E7" s="43" t="str">
        <f t="shared" ref="E7:E65" si="0">IF(C7=D7,"-",D7-C7)</f>
        <v>-</v>
      </c>
      <c r="F7" s="44">
        <f t="shared" ref="F7:F65" si="1">IF(C7=0,"-",D7/C7)</f>
        <v>1</v>
      </c>
    </row>
    <row r="8" spans="1:6" ht="33" customHeight="1" x14ac:dyDescent="0.2">
      <c r="A8" s="93" t="s">
        <v>2</v>
      </c>
      <c r="B8" s="15" t="s">
        <v>120</v>
      </c>
      <c r="C8" s="36">
        <v>433359</v>
      </c>
      <c r="D8" s="14">
        <f>C8</f>
        <v>433359</v>
      </c>
      <c r="E8" s="43" t="str">
        <f>IF(C8=D8,"-",D8-C8)</f>
        <v>-</v>
      </c>
      <c r="F8" s="44">
        <f t="shared" si="1"/>
        <v>1</v>
      </c>
    </row>
    <row r="9" spans="1:6" ht="33" customHeight="1" x14ac:dyDescent="0.2">
      <c r="A9" s="93" t="s">
        <v>3</v>
      </c>
      <c r="B9" s="15" t="s">
        <v>117</v>
      </c>
      <c r="C9" s="36">
        <v>2632430</v>
      </c>
      <c r="D9" s="14">
        <f>C9+70760</f>
        <v>2703190</v>
      </c>
      <c r="E9" s="43">
        <f t="shared" si="0"/>
        <v>70760</v>
      </c>
      <c r="F9" s="44">
        <f t="shared" si="1"/>
        <v>1.0268999999999999</v>
      </c>
    </row>
    <row r="10" spans="1:6" ht="31.5" customHeight="1" x14ac:dyDescent="0.2">
      <c r="A10" s="94" t="s">
        <v>56</v>
      </c>
      <c r="B10" s="89" t="s">
        <v>142</v>
      </c>
      <c r="C10" s="36">
        <v>260255</v>
      </c>
      <c r="D10" s="14">
        <f>C10+2538</f>
        <v>262793</v>
      </c>
      <c r="E10" s="43">
        <f t="shared" si="0"/>
        <v>2538</v>
      </c>
      <c r="F10" s="44">
        <f t="shared" si="1"/>
        <v>1.0098</v>
      </c>
    </row>
    <row r="11" spans="1:6" ht="31.5" customHeight="1" x14ac:dyDescent="0.2">
      <c r="A11" s="94" t="s">
        <v>143</v>
      </c>
      <c r="B11" s="89" t="s">
        <v>146</v>
      </c>
      <c r="C11" s="36">
        <v>238273</v>
      </c>
      <c r="D11" s="14">
        <f t="shared" ref="D11:D12" si="2">C11</f>
        <v>238273</v>
      </c>
      <c r="E11" s="43" t="str">
        <f t="shared" si="0"/>
        <v>-</v>
      </c>
      <c r="F11" s="44">
        <f t="shared" si="1"/>
        <v>1</v>
      </c>
    </row>
    <row r="12" spans="1:6" ht="31.5" customHeight="1" x14ac:dyDescent="0.2">
      <c r="A12" s="94" t="s">
        <v>144</v>
      </c>
      <c r="B12" s="89" t="s">
        <v>147</v>
      </c>
      <c r="C12" s="36">
        <v>114727</v>
      </c>
      <c r="D12" s="14">
        <f t="shared" si="2"/>
        <v>114727</v>
      </c>
      <c r="E12" s="43" t="str">
        <f t="shared" si="0"/>
        <v>-</v>
      </c>
      <c r="F12" s="44">
        <f t="shared" si="1"/>
        <v>1</v>
      </c>
    </row>
    <row r="13" spans="1:6" ht="31.5" customHeight="1" x14ac:dyDescent="0.2">
      <c r="A13" s="94" t="s">
        <v>145</v>
      </c>
      <c r="B13" s="89" t="s">
        <v>148</v>
      </c>
      <c r="C13" s="36">
        <v>49131</v>
      </c>
      <c r="D13" s="14">
        <f t="shared" ref="D13:D34" si="3">C13</f>
        <v>49131</v>
      </c>
      <c r="E13" s="43" t="str">
        <f t="shared" si="0"/>
        <v>-</v>
      </c>
      <c r="F13" s="44">
        <f t="shared" si="1"/>
        <v>1</v>
      </c>
    </row>
    <row r="14" spans="1:6" ht="33" customHeight="1" x14ac:dyDescent="0.2">
      <c r="A14" s="93" t="s">
        <v>4</v>
      </c>
      <c r="B14" s="15" t="s">
        <v>125</v>
      </c>
      <c r="C14" s="36">
        <v>205851</v>
      </c>
      <c r="D14" s="14">
        <f>C14+3800</f>
        <v>209651</v>
      </c>
      <c r="E14" s="43">
        <f t="shared" si="0"/>
        <v>3800</v>
      </c>
      <c r="F14" s="44">
        <f t="shared" si="1"/>
        <v>1.0185</v>
      </c>
    </row>
    <row r="15" spans="1:6" ht="33" customHeight="1" x14ac:dyDescent="0.2">
      <c r="A15" s="93" t="s">
        <v>5</v>
      </c>
      <c r="B15" s="15" t="s">
        <v>121</v>
      </c>
      <c r="C15" s="36">
        <v>175416</v>
      </c>
      <c r="D15" s="14">
        <f>C15+2680</f>
        <v>178096</v>
      </c>
      <c r="E15" s="43">
        <f t="shared" si="0"/>
        <v>2680</v>
      </c>
      <c r="F15" s="44">
        <f t="shared" si="1"/>
        <v>1.0153000000000001</v>
      </c>
    </row>
    <row r="16" spans="1:6" ht="33" customHeight="1" x14ac:dyDescent="0.2">
      <c r="A16" s="93" t="s">
        <v>6</v>
      </c>
      <c r="B16" s="15" t="s">
        <v>127</v>
      </c>
      <c r="C16" s="36">
        <v>114744</v>
      </c>
      <c r="D16" s="14">
        <f>C16+5270</f>
        <v>120014</v>
      </c>
      <c r="E16" s="43">
        <f t="shared" si="0"/>
        <v>5270</v>
      </c>
      <c r="F16" s="44">
        <f t="shared" si="1"/>
        <v>1.0459000000000001</v>
      </c>
    </row>
    <row r="17" spans="1:6" ht="33" customHeight="1" x14ac:dyDescent="0.2">
      <c r="A17" s="93" t="s">
        <v>7</v>
      </c>
      <c r="B17" s="15" t="s">
        <v>126</v>
      </c>
      <c r="C17" s="36">
        <v>58665</v>
      </c>
      <c r="D17" s="14">
        <f>C17+4079</f>
        <v>62744</v>
      </c>
      <c r="E17" s="43">
        <f t="shared" si="0"/>
        <v>4079</v>
      </c>
      <c r="F17" s="44">
        <f t="shared" si="1"/>
        <v>1.0694999999999999</v>
      </c>
    </row>
    <row r="18" spans="1:6" ht="33" customHeight="1" x14ac:dyDescent="0.2">
      <c r="A18" s="93" t="s">
        <v>8</v>
      </c>
      <c r="B18" s="15" t="s">
        <v>122</v>
      </c>
      <c r="C18" s="36">
        <v>122937</v>
      </c>
      <c r="D18" s="14">
        <f t="shared" si="3"/>
        <v>122937</v>
      </c>
      <c r="E18" s="43" t="str">
        <f t="shared" si="0"/>
        <v>-</v>
      </c>
      <c r="F18" s="44">
        <f t="shared" si="1"/>
        <v>1</v>
      </c>
    </row>
    <row r="19" spans="1:6" ht="33" customHeight="1" x14ac:dyDescent="0.2">
      <c r="A19" s="93" t="s">
        <v>9</v>
      </c>
      <c r="B19" s="15" t="s">
        <v>123</v>
      </c>
      <c r="C19" s="36">
        <v>64571</v>
      </c>
      <c r="D19" s="14">
        <f t="shared" si="3"/>
        <v>64571</v>
      </c>
      <c r="E19" s="43" t="str">
        <f t="shared" si="0"/>
        <v>-</v>
      </c>
      <c r="F19" s="44">
        <f t="shared" si="1"/>
        <v>1</v>
      </c>
    </row>
    <row r="20" spans="1:6" ht="33" customHeight="1" x14ac:dyDescent="0.2">
      <c r="A20" s="93" t="s">
        <v>10</v>
      </c>
      <c r="B20" s="15" t="s">
        <v>128</v>
      </c>
      <c r="C20" s="36">
        <v>4782</v>
      </c>
      <c r="D20" s="14">
        <f t="shared" si="3"/>
        <v>4782</v>
      </c>
      <c r="E20" s="43" t="str">
        <f t="shared" si="0"/>
        <v>-</v>
      </c>
      <c r="F20" s="44">
        <f t="shared" si="1"/>
        <v>1</v>
      </c>
    </row>
    <row r="21" spans="1:6" ht="46.5" customHeight="1" x14ac:dyDescent="0.2">
      <c r="A21" s="93" t="s">
        <v>11</v>
      </c>
      <c r="B21" s="15" t="s">
        <v>124</v>
      </c>
      <c r="C21" s="36">
        <v>15204</v>
      </c>
      <c r="D21" s="14">
        <f t="shared" si="3"/>
        <v>15204</v>
      </c>
      <c r="E21" s="43" t="str">
        <f t="shared" si="0"/>
        <v>-</v>
      </c>
      <c r="F21" s="44">
        <f t="shared" si="1"/>
        <v>1</v>
      </c>
    </row>
    <row r="22" spans="1:6" ht="33" customHeight="1" x14ac:dyDescent="0.2">
      <c r="A22" s="93" t="s">
        <v>12</v>
      </c>
      <c r="B22" s="15" t="s">
        <v>165</v>
      </c>
      <c r="C22" s="36">
        <v>139293</v>
      </c>
      <c r="D22" s="14">
        <f>C22+2216</f>
        <v>141509</v>
      </c>
      <c r="E22" s="43">
        <f t="shared" si="0"/>
        <v>2216</v>
      </c>
      <c r="F22" s="44">
        <f t="shared" si="1"/>
        <v>1.0159</v>
      </c>
    </row>
    <row r="23" spans="1:6" ht="33" customHeight="1" x14ac:dyDescent="0.2">
      <c r="A23" s="93" t="s">
        <v>13</v>
      </c>
      <c r="B23" s="15" t="s">
        <v>149</v>
      </c>
      <c r="C23" s="36">
        <v>76300</v>
      </c>
      <c r="D23" s="14">
        <f t="shared" si="3"/>
        <v>76300</v>
      </c>
      <c r="E23" s="43" t="str">
        <f t="shared" si="0"/>
        <v>-</v>
      </c>
      <c r="F23" s="44">
        <f t="shared" si="1"/>
        <v>1</v>
      </c>
    </row>
    <row r="24" spans="1:6" ht="33" customHeight="1" x14ac:dyDescent="0.2">
      <c r="A24" s="95" t="s">
        <v>14</v>
      </c>
      <c r="B24" s="35" t="s">
        <v>222</v>
      </c>
      <c r="C24" s="36">
        <v>610761</v>
      </c>
      <c r="D24" s="36">
        <f>SUM(D25:D27)</f>
        <v>610761</v>
      </c>
      <c r="E24" s="43" t="str">
        <f t="shared" si="0"/>
        <v>-</v>
      </c>
      <c r="F24" s="44">
        <f t="shared" si="1"/>
        <v>1</v>
      </c>
    </row>
    <row r="25" spans="1:6" ht="37.5" x14ac:dyDescent="0.2">
      <c r="A25" s="94" t="s">
        <v>129</v>
      </c>
      <c r="B25" s="89" t="s">
        <v>151</v>
      </c>
      <c r="C25" s="36">
        <v>608761</v>
      </c>
      <c r="D25" s="14">
        <f t="shared" si="3"/>
        <v>608761</v>
      </c>
      <c r="E25" s="43" t="str">
        <f t="shared" si="0"/>
        <v>-</v>
      </c>
      <c r="F25" s="44">
        <f t="shared" si="1"/>
        <v>1</v>
      </c>
    </row>
    <row r="26" spans="1:6" ht="31.5" customHeight="1" x14ac:dyDescent="0.2">
      <c r="A26" s="94" t="s">
        <v>150</v>
      </c>
      <c r="B26" s="89" t="s">
        <v>153</v>
      </c>
      <c r="C26" s="36">
        <v>1000</v>
      </c>
      <c r="D26" s="14">
        <f t="shared" si="3"/>
        <v>1000</v>
      </c>
      <c r="E26" s="43" t="str">
        <f t="shared" si="0"/>
        <v>-</v>
      </c>
      <c r="F26" s="44">
        <f t="shared" si="1"/>
        <v>1</v>
      </c>
    </row>
    <row r="27" spans="1:6" ht="37.5" x14ac:dyDescent="0.2">
      <c r="A27" s="94" t="s">
        <v>154</v>
      </c>
      <c r="B27" s="89" t="s">
        <v>152</v>
      </c>
      <c r="C27" s="36">
        <v>1000</v>
      </c>
      <c r="D27" s="14">
        <f t="shared" si="3"/>
        <v>1000</v>
      </c>
      <c r="E27" s="43" t="str">
        <f t="shared" si="0"/>
        <v>-</v>
      </c>
      <c r="F27" s="44">
        <f t="shared" si="1"/>
        <v>1</v>
      </c>
    </row>
    <row r="28" spans="1:6" ht="33" customHeight="1" x14ac:dyDescent="0.2">
      <c r="A28" s="96" t="s">
        <v>15</v>
      </c>
      <c r="B28" s="16" t="s">
        <v>113</v>
      </c>
      <c r="C28" s="36">
        <v>0</v>
      </c>
      <c r="D28" s="14">
        <f t="shared" si="3"/>
        <v>0</v>
      </c>
      <c r="E28" s="43" t="str">
        <f t="shared" si="0"/>
        <v>-</v>
      </c>
      <c r="F28" s="44" t="str">
        <f t="shared" si="1"/>
        <v>-</v>
      </c>
    </row>
    <row r="29" spans="1:6" ht="33" customHeight="1" x14ac:dyDescent="0.2">
      <c r="A29" s="96" t="s">
        <v>110</v>
      </c>
      <c r="B29" s="17" t="s">
        <v>155</v>
      </c>
      <c r="C29" s="36">
        <v>0</v>
      </c>
      <c r="D29" s="14">
        <f>C29+18848</f>
        <v>18848</v>
      </c>
      <c r="E29" s="43">
        <f t="shared" si="0"/>
        <v>18848</v>
      </c>
      <c r="F29" s="44" t="str">
        <f t="shared" si="1"/>
        <v>-</v>
      </c>
    </row>
    <row r="30" spans="1:6" ht="31.5" customHeight="1" x14ac:dyDescent="0.2">
      <c r="A30" s="94" t="s">
        <v>156</v>
      </c>
      <c r="B30" s="89" t="s">
        <v>167</v>
      </c>
      <c r="C30" s="36">
        <v>0</v>
      </c>
      <c r="D30" s="14">
        <f t="shared" si="3"/>
        <v>0</v>
      </c>
      <c r="E30" s="43" t="str">
        <f t="shared" si="0"/>
        <v>-</v>
      </c>
      <c r="F30" s="44" t="str">
        <f t="shared" si="1"/>
        <v>-</v>
      </c>
    </row>
    <row r="31" spans="1:6" ht="33" customHeight="1" x14ac:dyDescent="0.2">
      <c r="A31" s="96" t="s">
        <v>111</v>
      </c>
      <c r="B31" s="17" t="s">
        <v>114</v>
      </c>
      <c r="C31" s="36">
        <v>0</v>
      </c>
      <c r="D31" s="14">
        <f t="shared" si="3"/>
        <v>0</v>
      </c>
      <c r="E31" s="43" t="str">
        <f t="shared" si="0"/>
        <v>-</v>
      </c>
      <c r="F31" s="44" t="str">
        <f t="shared" si="1"/>
        <v>-</v>
      </c>
    </row>
    <row r="32" spans="1:6" ht="33" customHeight="1" x14ac:dyDescent="0.2">
      <c r="A32" s="96" t="s">
        <v>112</v>
      </c>
      <c r="B32" s="17" t="s">
        <v>166</v>
      </c>
      <c r="C32" s="36">
        <v>8181</v>
      </c>
      <c r="D32" s="14">
        <f t="shared" si="3"/>
        <v>8181</v>
      </c>
      <c r="E32" s="43" t="str">
        <f t="shared" si="0"/>
        <v>-</v>
      </c>
      <c r="F32" s="44">
        <f t="shared" si="1"/>
        <v>1</v>
      </c>
    </row>
    <row r="33" spans="1:6" ht="42.75" customHeight="1" x14ac:dyDescent="0.2">
      <c r="A33" s="96" t="s">
        <v>223</v>
      </c>
      <c r="B33" s="17" t="s">
        <v>224</v>
      </c>
      <c r="C33" s="36">
        <v>0</v>
      </c>
      <c r="D33" s="14">
        <f t="shared" si="3"/>
        <v>0</v>
      </c>
      <c r="E33" s="43" t="str">
        <f>IF(C33=D33,"-",D33-C33)</f>
        <v>-</v>
      </c>
      <c r="F33" s="44" t="str">
        <f>IF(C33=0,"-",D33/C33)</f>
        <v>-</v>
      </c>
    </row>
    <row r="34" spans="1:6" ht="33" customHeight="1" x14ac:dyDescent="0.2">
      <c r="A34" s="96" t="s">
        <v>233</v>
      </c>
      <c r="B34" s="17" t="s">
        <v>234</v>
      </c>
      <c r="C34" s="36">
        <v>100</v>
      </c>
      <c r="D34" s="14">
        <f t="shared" si="3"/>
        <v>100</v>
      </c>
      <c r="E34" s="43" t="str">
        <f>IF(C34=D34,"-",D34-C34)</f>
        <v>-</v>
      </c>
      <c r="F34" s="44">
        <f>IF(C34=0,"-",D34/C34)</f>
        <v>1</v>
      </c>
    </row>
    <row r="35" spans="1:6" s="3" customFormat="1" ht="31.5" customHeight="1" x14ac:dyDescent="0.2">
      <c r="A35" s="97" t="s">
        <v>58</v>
      </c>
      <c r="B35" s="18" t="s">
        <v>59</v>
      </c>
      <c r="C35" s="37">
        <v>0</v>
      </c>
      <c r="D35" s="42">
        <f>C35</f>
        <v>0</v>
      </c>
      <c r="E35" s="8" t="str">
        <f t="shared" si="0"/>
        <v>-</v>
      </c>
      <c r="F35" s="45" t="str">
        <f t="shared" si="1"/>
        <v>-</v>
      </c>
    </row>
    <row r="36" spans="1:6" s="3" customFormat="1" ht="31.5" customHeight="1" x14ac:dyDescent="0.2">
      <c r="A36" s="97" t="s">
        <v>57</v>
      </c>
      <c r="B36" s="18" t="s">
        <v>60</v>
      </c>
      <c r="C36" s="37">
        <v>142465</v>
      </c>
      <c r="D36" s="42">
        <f>C36</f>
        <v>142465</v>
      </c>
      <c r="E36" s="8" t="str">
        <f t="shared" si="0"/>
        <v>-</v>
      </c>
      <c r="F36" s="45">
        <f t="shared" si="1"/>
        <v>1</v>
      </c>
    </row>
    <row r="37" spans="1:6" s="3" customFormat="1" ht="40.5" x14ac:dyDescent="0.2">
      <c r="A37" s="97" t="s">
        <v>235</v>
      </c>
      <c r="B37" s="18" t="s">
        <v>236</v>
      </c>
      <c r="C37" s="37">
        <v>43231</v>
      </c>
      <c r="D37" s="42">
        <f>C37</f>
        <v>43231</v>
      </c>
      <c r="E37" s="8" t="str">
        <f t="shared" si="0"/>
        <v>-</v>
      </c>
      <c r="F37" s="45">
        <f t="shared" si="1"/>
        <v>1</v>
      </c>
    </row>
    <row r="38" spans="1:6" s="3" customFormat="1" ht="42.75" customHeight="1" x14ac:dyDescent="0.2">
      <c r="A38" s="97" t="s">
        <v>157</v>
      </c>
      <c r="B38" s="18" t="s">
        <v>158</v>
      </c>
      <c r="C38" s="37">
        <f>C11+C13+C24+C30</f>
        <v>898165</v>
      </c>
      <c r="D38" s="37">
        <f>D11+D13+D24+D30</f>
        <v>898165</v>
      </c>
      <c r="E38" s="8" t="str">
        <f t="shared" si="0"/>
        <v>-</v>
      </c>
      <c r="F38" s="45">
        <f t="shared" si="1"/>
        <v>1</v>
      </c>
    </row>
    <row r="39" spans="1:6" ht="30" customHeight="1" x14ac:dyDescent="0.2">
      <c r="A39" s="151" t="s">
        <v>16</v>
      </c>
      <c r="B39" s="152" t="s">
        <v>228</v>
      </c>
      <c r="C39" s="135">
        <f>C40+C41+C42+C50+C52+C58+C59+C57</f>
        <v>36225</v>
      </c>
      <c r="D39" s="135">
        <f>D40+D41+D42+D50+D52+D58+D59+D57</f>
        <v>36225</v>
      </c>
      <c r="E39" s="131" t="str">
        <f t="shared" si="0"/>
        <v>-</v>
      </c>
      <c r="F39" s="153">
        <f t="shared" si="1"/>
        <v>1</v>
      </c>
    </row>
    <row r="40" spans="1:6" ht="28.5" customHeight="1" x14ac:dyDescent="0.2">
      <c r="A40" s="96" t="s">
        <v>17</v>
      </c>
      <c r="B40" s="20" t="s">
        <v>18</v>
      </c>
      <c r="C40" s="36">
        <v>1397</v>
      </c>
      <c r="D40" s="38">
        <f>C40</f>
        <v>1397</v>
      </c>
      <c r="E40" s="43" t="str">
        <f t="shared" si="0"/>
        <v>-</v>
      </c>
      <c r="F40" s="44">
        <f t="shared" si="1"/>
        <v>1</v>
      </c>
    </row>
    <row r="41" spans="1:6" ht="28.5" customHeight="1" x14ac:dyDescent="0.2">
      <c r="A41" s="96" t="s">
        <v>19</v>
      </c>
      <c r="B41" s="20" t="s">
        <v>20</v>
      </c>
      <c r="C41" s="36">
        <v>4215</v>
      </c>
      <c r="D41" s="38">
        <f t="shared" ref="D41:D59" si="4">C41</f>
        <v>4215</v>
      </c>
      <c r="E41" s="43" t="str">
        <f t="shared" si="0"/>
        <v>-</v>
      </c>
      <c r="F41" s="44">
        <f t="shared" si="1"/>
        <v>1</v>
      </c>
    </row>
    <row r="42" spans="1:6" ht="28.5" customHeight="1" x14ac:dyDescent="0.2">
      <c r="A42" s="96" t="s">
        <v>21</v>
      </c>
      <c r="B42" s="21" t="s">
        <v>229</v>
      </c>
      <c r="C42" s="38">
        <f>C43+C45+C46+C47+C48+C49</f>
        <v>351</v>
      </c>
      <c r="D42" s="38">
        <f>D43+D45+D46+D47+D48+D49</f>
        <v>351</v>
      </c>
      <c r="E42" s="43" t="str">
        <f t="shared" si="0"/>
        <v>-</v>
      </c>
      <c r="F42" s="44">
        <f t="shared" si="1"/>
        <v>1</v>
      </c>
    </row>
    <row r="43" spans="1:6" ht="28.5" customHeight="1" x14ac:dyDescent="0.2">
      <c r="A43" s="99" t="s">
        <v>39</v>
      </c>
      <c r="B43" s="90" t="s">
        <v>32</v>
      </c>
      <c r="C43" s="36">
        <v>54</v>
      </c>
      <c r="D43" s="38">
        <f t="shared" si="4"/>
        <v>54</v>
      </c>
      <c r="E43" s="43" t="str">
        <f t="shared" si="0"/>
        <v>-</v>
      </c>
      <c r="F43" s="44">
        <f t="shared" si="1"/>
        <v>1</v>
      </c>
    </row>
    <row r="44" spans="1:6" ht="28.5" customHeight="1" x14ac:dyDescent="0.2">
      <c r="A44" s="99" t="s">
        <v>40</v>
      </c>
      <c r="B44" s="91" t="s">
        <v>33</v>
      </c>
      <c r="C44" s="36">
        <v>54</v>
      </c>
      <c r="D44" s="38">
        <f t="shared" si="4"/>
        <v>54</v>
      </c>
      <c r="E44" s="43" t="str">
        <f t="shared" si="0"/>
        <v>-</v>
      </c>
      <c r="F44" s="44">
        <f t="shared" si="1"/>
        <v>1</v>
      </c>
    </row>
    <row r="45" spans="1:6" ht="28.5" customHeight="1" x14ac:dyDescent="0.2">
      <c r="A45" s="99" t="s">
        <v>41</v>
      </c>
      <c r="B45" s="90" t="s">
        <v>34</v>
      </c>
      <c r="C45" s="36">
        <v>66</v>
      </c>
      <c r="D45" s="38">
        <f t="shared" si="4"/>
        <v>66</v>
      </c>
      <c r="E45" s="43" t="str">
        <f t="shared" si="0"/>
        <v>-</v>
      </c>
      <c r="F45" s="44">
        <f t="shared" si="1"/>
        <v>1</v>
      </c>
    </row>
    <row r="46" spans="1:6" ht="28.5" customHeight="1" x14ac:dyDescent="0.2">
      <c r="A46" s="99" t="s">
        <v>42</v>
      </c>
      <c r="B46" s="90" t="s">
        <v>35</v>
      </c>
      <c r="C46" s="36">
        <v>1</v>
      </c>
      <c r="D46" s="38">
        <f t="shared" si="4"/>
        <v>1</v>
      </c>
      <c r="E46" s="43" t="str">
        <f t="shared" si="0"/>
        <v>-</v>
      </c>
      <c r="F46" s="44">
        <f t="shared" si="1"/>
        <v>1</v>
      </c>
    </row>
    <row r="47" spans="1:6" ht="28.5" customHeight="1" x14ac:dyDescent="0.2">
      <c r="A47" s="99" t="s">
        <v>43</v>
      </c>
      <c r="B47" s="90" t="s">
        <v>36</v>
      </c>
      <c r="C47" s="36">
        <v>0</v>
      </c>
      <c r="D47" s="38">
        <f t="shared" si="4"/>
        <v>0</v>
      </c>
      <c r="E47" s="43" t="str">
        <f t="shared" si="0"/>
        <v>-</v>
      </c>
      <c r="F47" s="44" t="str">
        <f t="shared" si="1"/>
        <v>-</v>
      </c>
    </row>
    <row r="48" spans="1:6" ht="28.5" customHeight="1" x14ac:dyDescent="0.2">
      <c r="A48" s="99" t="s">
        <v>44</v>
      </c>
      <c r="B48" s="90" t="s">
        <v>37</v>
      </c>
      <c r="C48" s="36">
        <v>228</v>
      </c>
      <c r="D48" s="38">
        <f t="shared" si="4"/>
        <v>228</v>
      </c>
      <c r="E48" s="43" t="str">
        <f t="shared" si="0"/>
        <v>-</v>
      </c>
      <c r="F48" s="44">
        <f t="shared" si="1"/>
        <v>1</v>
      </c>
    </row>
    <row r="49" spans="1:6" ht="28.5" customHeight="1" x14ac:dyDescent="0.2">
      <c r="A49" s="99" t="s">
        <v>45</v>
      </c>
      <c r="B49" s="90" t="s">
        <v>38</v>
      </c>
      <c r="C49" s="36">
        <v>2</v>
      </c>
      <c r="D49" s="38">
        <f t="shared" si="4"/>
        <v>2</v>
      </c>
      <c r="E49" s="43" t="str">
        <f t="shared" si="0"/>
        <v>-</v>
      </c>
      <c r="F49" s="44">
        <f t="shared" si="1"/>
        <v>1</v>
      </c>
    </row>
    <row r="50" spans="1:6" ht="28.5" customHeight="1" x14ac:dyDescent="0.2">
      <c r="A50" s="96" t="s">
        <v>22</v>
      </c>
      <c r="B50" s="20" t="s">
        <v>159</v>
      </c>
      <c r="C50" s="36">
        <v>21910</v>
      </c>
      <c r="D50" s="38">
        <f t="shared" si="4"/>
        <v>21910</v>
      </c>
      <c r="E50" s="43" t="str">
        <f t="shared" si="0"/>
        <v>-</v>
      </c>
      <c r="F50" s="44">
        <f t="shared" si="1"/>
        <v>1</v>
      </c>
    </row>
    <row r="51" spans="1:6" ht="28.5" customHeight="1" x14ac:dyDescent="0.2">
      <c r="A51" s="99" t="s">
        <v>160</v>
      </c>
      <c r="B51" s="90" t="s">
        <v>161</v>
      </c>
      <c r="C51" s="36">
        <v>100</v>
      </c>
      <c r="D51" s="38">
        <f t="shared" si="4"/>
        <v>100</v>
      </c>
      <c r="E51" s="43" t="str">
        <f t="shared" si="0"/>
        <v>-</v>
      </c>
      <c r="F51" s="44">
        <f t="shared" si="1"/>
        <v>1</v>
      </c>
    </row>
    <row r="52" spans="1:6" ht="28.5" customHeight="1" x14ac:dyDescent="0.2">
      <c r="A52" s="96" t="s">
        <v>23</v>
      </c>
      <c r="B52" s="21" t="s">
        <v>227</v>
      </c>
      <c r="C52" s="34">
        <f>C53+C54+C55+C56</f>
        <v>4925</v>
      </c>
      <c r="D52" s="34">
        <f>D53+D54+D55+D56</f>
        <v>4925</v>
      </c>
      <c r="E52" s="43" t="str">
        <f t="shared" si="0"/>
        <v>-</v>
      </c>
      <c r="F52" s="44">
        <f t="shared" si="1"/>
        <v>1</v>
      </c>
    </row>
    <row r="53" spans="1:6" ht="28.5" customHeight="1" x14ac:dyDescent="0.2">
      <c r="A53" s="99" t="s">
        <v>50</v>
      </c>
      <c r="B53" s="90" t="s">
        <v>46</v>
      </c>
      <c r="C53" s="36">
        <v>3659</v>
      </c>
      <c r="D53" s="38">
        <f t="shared" si="4"/>
        <v>3659</v>
      </c>
      <c r="E53" s="43" t="str">
        <f t="shared" si="0"/>
        <v>-</v>
      </c>
      <c r="F53" s="44">
        <f t="shared" si="1"/>
        <v>1</v>
      </c>
    </row>
    <row r="54" spans="1:6" ht="28.5" customHeight="1" x14ac:dyDescent="0.2">
      <c r="A54" s="99" t="s">
        <v>51</v>
      </c>
      <c r="B54" s="90" t="s">
        <v>47</v>
      </c>
      <c r="C54" s="36">
        <v>441</v>
      </c>
      <c r="D54" s="38">
        <f t="shared" si="4"/>
        <v>441</v>
      </c>
      <c r="E54" s="43" t="str">
        <f t="shared" si="0"/>
        <v>-</v>
      </c>
      <c r="F54" s="44">
        <f t="shared" si="1"/>
        <v>1</v>
      </c>
    </row>
    <row r="55" spans="1:6" ht="28.5" customHeight="1" x14ac:dyDescent="0.2">
      <c r="A55" s="99" t="s">
        <v>52</v>
      </c>
      <c r="B55" s="90" t="s">
        <v>48</v>
      </c>
      <c r="C55" s="36">
        <v>0</v>
      </c>
      <c r="D55" s="38">
        <f t="shared" si="4"/>
        <v>0</v>
      </c>
      <c r="E55" s="43" t="str">
        <f t="shared" si="0"/>
        <v>-</v>
      </c>
      <c r="F55" s="44" t="str">
        <f t="shared" si="1"/>
        <v>-</v>
      </c>
    </row>
    <row r="56" spans="1:6" ht="28.5" customHeight="1" x14ac:dyDescent="0.2">
      <c r="A56" s="99" t="s">
        <v>53</v>
      </c>
      <c r="B56" s="90" t="s">
        <v>49</v>
      </c>
      <c r="C56" s="36">
        <v>825</v>
      </c>
      <c r="D56" s="38">
        <f t="shared" si="4"/>
        <v>825</v>
      </c>
      <c r="E56" s="43" t="str">
        <f t="shared" si="0"/>
        <v>-</v>
      </c>
      <c r="F56" s="44">
        <f t="shared" si="1"/>
        <v>1</v>
      </c>
    </row>
    <row r="57" spans="1:6" ht="28.5" customHeight="1" x14ac:dyDescent="0.2">
      <c r="A57" s="96" t="s">
        <v>24</v>
      </c>
      <c r="B57" s="20" t="s">
        <v>25</v>
      </c>
      <c r="C57" s="36">
        <v>0</v>
      </c>
      <c r="D57" s="38">
        <f t="shared" si="4"/>
        <v>0</v>
      </c>
      <c r="E57" s="43" t="str">
        <f t="shared" si="0"/>
        <v>-</v>
      </c>
      <c r="F57" s="44" t="str">
        <f t="shared" si="1"/>
        <v>-</v>
      </c>
    </row>
    <row r="58" spans="1:6" ht="28.5" customHeight="1" x14ac:dyDescent="0.2">
      <c r="A58" s="96" t="s">
        <v>26</v>
      </c>
      <c r="B58" s="20" t="s">
        <v>162</v>
      </c>
      <c r="C58" s="36">
        <v>3232</v>
      </c>
      <c r="D58" s="38">
        <f t="shared" si="4"/>
        <v>3232</v>
      </c>
      <c r="E58" s="43" t="str">
        <f t="shared" si="0"/>
        <v>-</v>
      </c>
      <c r="F58" s="46">
        <f t="shared" si="1"/>
        <v>1</v>
      </c>
    </row>
    <row r="59" spans="1:6" ht="28.5" customHeight="1" x14ac:dyDescent="0.2">
      <c r="A59" s="96" t="s">
        <v>27</v>
      </c>
      <c r="B59" s="20" t="s">
        <v>28</v>
      </c>
      <c r="C59" s="36">
        <v>195</v>
      </c>
      <c r="D59" s="38">
        <f t="shared" si="4"/>
        <v>195</v>
      </c>
      <c r="E59" s="43" t="str">
        <f t="shared" si="0"/>
        <v>-</v>
      </c>
      <c r="F59" s="44">
        <f t="shared" si="1"/>
        <v>1</v>
      </c>
    </row>
    <row r="60" spans="1:6" ht="30" customHeight="1" x14ac:dyDescent="0.2">
      <c r="A60" s="142" t="s">
        <v>135</v>
      </c>
      <c r="B60" s="143" t="s">
        <v>163</v>
      </c>
      <c r="C60" s="154">
        <f>C61+C62+C63+C64</f>
        <v>16705</v>
      </c>
      <c r="D60" s="154">
        <f>D61+D62+D63+D64</f>
        <v>16705</v>
      </c>
      <c r="E60" s="131" t="str">
        <f t="shared" si="0"/>
        <v>-</v>
      </c>
      <c r="F60" s="155">
        <f t="shared" si="1"/>
        <v>1</v>
      </c>
    </row>
    <row r="61" spans="1:6" ht="42" customHeight="1" x14ac:dyDescent="0.2">
      <c r="A61" s="96" t="s">
        <v>101</v>
      </c>
      <c r="B61" s="20" t="s">
        <v>115</v>
      </c>
      <c r="C61" s="36">
        <v>0</v>
      </c>
      <c r="D61" s="38">
        <f>C61</f>
        <v>0</v>
      </c>
      <c r="E61" s="34" t="str">
        <f t="shared" si="0"/>
        <v>-</v>
      </c>
      <c r="F61" s="44" t="str">
        <f t="shared" si="1"/>
        <v>-</v>
      </c>
    </row>
    <row r="62" spans="1:6" ht="31.5" customHeight="1" x14ac:dyDescent="0.2">
      <c r="A62" s="96" t="s">
        <v>30</v>
      </c>
      <c r="B62" s="20" t="s">
        <v>55</v>
      </c>
      <c r="C62" s="36">
        <v>15045</v>
      </c>
      <c r="D62" s="38">
        <f>C62</f>
        <v>15045</v>
      </c>
      <c r="E62" s="34" t="str">
        <f t="shared" si="0"/>
        <v>-</v>
      </c>
      <c r="F62" s="44">
        <f t="shared" si="1"/>
        <v>1</v>
      </c>
    </row>
    <row r="63" spans="1:6" ht="31.5" customHeight="1" x14ac:dyDescent="0.2">
      <c r="A63" s="96" t="s">
        <v>31</v>
      </c>
      <c r="B63" s="20" t="s">
        <v>103</v>
      </c>
      <c r="C63" s="36">
        <v>0</v>
      </c>
      <c r="D63" s="38">
        <f>C63</f>
        <v>0</v>
      </c>
      <c r="E63" s="34" t="str">
        <f t="shared" si="0"/>
        <v>-</v>
      </c>
      <c r="F63" s="44" t="str">
        <f t="shared" si="1"/>
        <v>-</v>
      </c>
    </row>
    <row r="64" spans="1:6" ht="31.5" customHeight="1" x14ac:dyDescent="0.2">
      <c r="A64" s="96" t="s">
        <v>102</v>
      </c>
      <c r="B64" s="20" t="s">
        <v>104</v>
      </c>
      <c r="C64" s="36">
        <v>1660</v>
      </c>
      <c r="D64" s="38">
        <f>C64</f>
        <v>1660</v>
      </c>
      <c r="E64" s="34" t="str">
        <f t="shared" si="0"/>
        <v>-</v>
      </c>
      <c r="F64" s="44">
        <f t="shared" si="1"/>
        <v>1</v>
      </c>
    </row>
    <row r="65" spans="1:6" ht="32.25" customHeight="1" x14ac:dyDescent="0.2">
      <c r="A65" s="142" t="s">
        <v>137</v>
      </c>
      <c r="B65" s="143" t="s">
        <v>116</v>
      </c>
      <c r="C65" s="154">
        <v>1981</v>
      </c>
      <c r="D65" s="154">
        <f>C65</f>
        <v>1981</v>
      </c>
      <c r="E65" s="131" t="str">
        <f t="shared" si="0"/>
        <v>-</v>
      </c>
      <c r="F65" s="155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5.7109375" style="2" customWidth="1"/>
    <col min="4" max="4" width="26.85546875" style="2" customWidth="1"/>
    <col min="5" max="5" width="25.140625" style="2" customWidth="1"/>
    <col min="6" max="6" width="20.7109375" style="2" customWidth="1"/>
    <col min="7" max="16384" width="9.140625" style="2"/>
  </cols>
  <sheetData>
    <row r="1" spans="1:6" s="24" customFormat="1" ht="46.5" customHeight="1" x14ac:dyDescent="0.2">
      <c r="A1" s="160" t="str">
        <f>NFZ!A1</f>
        <v>ZMIANA PLANU FINANSOWEGO NARODOWEGO FUNDUSZU ZDROWIA NA 2017 ROK Z DNIA 18 LIPCA 2017 R.</v>
      </c>
      <c r="B1" s="160"/>
      <c r="C1" s="160"/>
      <c r="D1" s="160"/>
      <c r="E1" s="160"/>
      <c r="F1" s="160"/>
    </row>
    <row r="2" spans="1:6" s="26" customFormat="1" ht="33" customHeight="1" x14ac:dyDescent="0.2">
      <c r="A2" s="115" t="s">
        <v>62</v>
      </c>
      <c r="B2" s="115"/>
      <c r="C2" s="116"/>
    </row>
    <row r="3" spans="1:6" ht="33" customHeight="1" x14ac:dyDescent="0.25">
      <c r="A3" s="5"/>
      <c r="B3" s="6"/>
      <c r="C3" s="40"/>
      <c r="D3" s="40"/>
      <c r="E3" s="40" t="s">
        <v>141</v>
      </c>
      <c r="F3" s="7"/>
    </row>
    <row r="4" spans="1:6" s="117" customFormat="1" ht="65.099999999999994" customHeight="1" x14ac:dyDescent="0.2">
      <c r="A4" s="124" t="s">
        <v>118</v>
      </c>
      <c r="B4" s="124" t="s">
        <v>54</v>
      </c>
      <c r="C4" s="125" t="s">
        <v>230</v>
      </c>
      <c r="D4" s="125" t="s">
        <v>171</v>
      </c>
      <c r="E4" s="126" t="s">
        <v>172</v>
      </c>
      <c r="F4" s="126" t="s">
        <v>173</v>
      </c>
    </row>
    <row r="5" spans="1:6" s="118" customFormat="1" ht="14.25" x14ac:dyDescent="0.2">
      <c r="A5" s="127">
        <v>1</v>
      </c>
      <c r="B5" s="128">
        <v>2</v>
      </c>
      <c r="C5" s="127">
        <v>3</v>
      </c>
      <c r="D5" s="128">
        <v>4</v>
      </c>
      <c r="E5" s="127">
        <v>5</v>
      </c>
      <c r="F5" s="128">
        <v>6</v>
      </c>
    </row>
    <row r="6" spans="1:6" ht="30" customHeight="1" x14ac:dyDescent="0.2">
      <c r="A6" s="101" t="s">
        <v>0</v>
      </c>
      <c r="B6" s="73" t="s">
        <v>232</v>
      </c>
      <c r="C6" s="150">
        <f>C7+C8+C9+C14+C15+C16+C17+C18+C19+C20+C21+C22+C23+C24+C28+C29+C31+C32+C33+C34</f>
        <v>3873022</v>
      </c>
      <c r="D6" s="150">
        <f>D7+D8+D9+D14+D15+D16+D17+D18+D19+D20+D21+D22+D23+D24+D28+D29+D31+D32+D33+D34</f>
        <v>3950327</v>
      </c>
      <c r="E6" s="131">
        <f>IF(C6=D6,"-",D6-C6)</f>
        <v>77305</v>
      </c>
      <c r="F6" s="148">
        <f>IF(C6=0,"-",D6/C6)</f>
        <v>1.02</v>
      </c>
    </row>
    <row r="7" spans="1:6" ht="33" customHeight="1" x14ac:dyDescent="0.2">
      <c r="A7" s="93" t="s">
        <v>1</v>
      </c>
      <c r="B7" s="15" t="s">
        <v>119</v>
      </c>
      <c r="C7" s="36">
        <v>546824</v>
      </c>
      <c r="D7" s="14">
        <f>C7+3000</f>
        <v>549824</v>
      </c>
      <c r="E7" s="43">
        <f t="shared" ref="E7:E65" si="0">IF(C7=D7,"-",D7-C7)</f>
        <v>3000</v>
      </c>
      <c r="F7" s="44">
        <f t="shared" ref="F7:F65" si="1">IF(C7=0,"-",D7/C7)</f>
        <v>1.0055000000000001</v>
      </c>
    </row>
    <row r="8" spans="1:6" ht="33" customHeight="1" x14ac:dyDescent="0.2">
      <c r="A8" s="93" t="s">
        <v>2</v>
      </c>
      <c r="B8" s="15" t="s">
        <v>120</v>
      </c>
      <c r="C8" s="36">
        <v>301593</v>
      </c>
      <c r="D8" s="14">
        <f>C8+6000</f>
        <v>307593</v>
      </c>
      <c r="E8" s="43">
        <f t="shared" si="0"/>
        <v>6000</v>
      </c>
      <c r="F8" s="44">
        <f t="shared" si="1"/>
        <v>1.0199</v>
      </c>
    </row>
    <row r="9" spans="1:6" ht="33" customHeight="1" x14ac:dyDescent="0.2">
      <c r="A9" s="93" t="s">
        <v>3</v>
      </c>
      <c r="B9" s="15" t="s">
        <v>117</v>
      </c>
      <c r="C9" s="36">
        <v>1887372</v>
      </c>
      <c r="D9" s="14">
        <f>C9+50727</f>
        <v>1938099</v>
      </c>
      <c r="E9" s="43">
        <f t="shared" si="0"/>
        <v>50727</v>
      </c>
      <c r="F9" s="44">
        <f t="shared" si="1"/>
        <v>1.0268999999999999</v>
      </c>
    </row>
    <row r="10" spans="1:6" ht="31.5" customHeight="1" x14ac:dyDescent="0.2">
      <c r="A10" s="94" t="s">
        <v>56</v>
      </c>
      <c r="B10" s="89" t="s">
        <v>142</v>
      </c>
      <c r="C10" s="36">
        <v>165875</v>
      </c>
      <c r="D10" s="14">
        <f t="shared" ref="D10:D34" si="2">C10</f>
        <v>165875</v>
      </c>
      <c r="E10" s="43" t="str">
        <f t="shared" si="0"/>
        <v>-</v>
      </c>
      <c r="F10" s="44">
        <f t="shared" si="1"/>
        <v>1</v>
      </c>
    </row>
    <row r="11" spans="1:6" ht="31.5" customHeight="1" x14ac:dyDescent="0.2">
      <c r="A11" s="94" t="s">
        <v>143</v>
      </c>
      <c r="B11" s="89" t="s">
        <v>146</v>
      </c>
      <c r="C11" s="36">
        <v>150556</v>
      </c>
      <c r="D11" s="14">
        <f t="shared" si="2"/>
        <v>150556</v>
      </c>
      <c r="E11" s="43" t="str">
        <f t="shared" si="0"/>
        <v>-</v>
      </c>
      <c r="F11" s="44">
        <f t="shared" si="1"/>
        <v>1</v>
      </c>
    </row>
    <row r="12" spans="1:6" ht="31.5" customHeight="1" x14ac:dyDescent="0.2">
      <c r="A12" s="94" t="s">
        <v>144</v>
      </c>
      <c r="B12" s="89" t="s">
        <v>147</v>
      </c>
      <c r="C12" s="36">
        <v>69300</v>
      </c>
      <c r="D12" s="14">
        <f t="shared" si="2"/>
        <v>69300</v>
      </c>
      <c r="E12" s="43" t="str">
        <f t="shared" si="0"/>
        <v>-</v>
      </c>
      <c r="F12" s="44">
        <f t="shared" si="1"/>
        <v>1</v>
      </c>
    </row>
    <row r="13" spans="1:6" ht="31.5" customHeight="1" x14ac:dyDescent="0.2">
      <c r="A13" s="94" t="s">
        <v>145</v>
      </c>
      <c r="B13" s="89" t="s">
        <v>148</v>
      </c>
      <c r="C13" s="36">
        <v>33838</v>
      </c>
      <c r="D13" s="14">
        <f t="shared" si="2"/>
        <v>33838</v>
      </c>
      <c r="E13" s="43" t="str">
        <f t="shared" si="0"/>
        <v>-</v>
      </c>
      <c r="F13" s="44">
        <f t="shared" si="1"/>
        <v>1</v>
      </c>
    </row>
    <row r="14" spans="1:6" ht="33" customHeight="1" x14ac:dyDescent="0.2">
      <c r="A14" s="93" t="s">
        <v>4</v>
      </c>
      <c r="B14" s="15" t="s">
        <v>125</v>
      </c>
      <c r="C14" s="36">
        <v>139197</v>
      </c>
      <c r="D14" s="14">
        <f t="shared" si="2"/>
        <v>139197</v>
      </c>
      <c r="E14" s="43" t="str">
        <f t="shared" si="0"/>
        <v>-</v>
      </c>
      <c r="F14" s="44">
        <f t="shared" si="1"/>
        <v>1</v>
      </c>
    </row>
    <row r="15" spans="1:6" ht="33" customHeight="1" x14ac:dyDescent="0.2">
      <c r="A15" s="93" t="s">
        <v>5</v>
      </c>
      <c r="B15" s="15" t="s">
        <v>121</v>
      </c>
      <c r="C15" s="36">
        <v>105722</v>
      </c>
      <c r="D15" s="14">
        <f>C15+500</f>
        <v>106222</v>
      </c>
      <c r="E15" s="43">
        <f t="shared" si="0"/>
        <v>500</v>
      </c>
      <c r="F15" s="44">
        <f t="shared" si="1"/>
        <v>1.0046999999999999</v>
      </c>
    </row>
    <row r="16" spans="1:6" ht="33" customHeight="1" x14ac:dyDescent="0.2">
      <c r="A16" s="93" t="s">
        <v>6</v>
      </c>
      <c r="B16" s="15" t="s">
        <v>127</v>
      </c>
      <c r="C16" s="36">
        <v>62433</v>
      </c>
      <c r="D16" s="14">
        <f>C16+150</f>
        <v>62583</v>
      </c>
      <c r="E16" s="43">
        <f t="shared" si="0"/>
        <v>150</v>
      </c>
      <c r="F16" s="44">
        <f t="shared" si="1"/>
        <v>1.0024</v>
      </c>
    </row>
    <row r="17" spans="1:6" ht="33" customHeight="1" x14ac:dyDescent="0.2">
      <c r="A17" s="93" t="s">
        <v>7</v>
      </c>
      <c r="B17" s="15" t="s">
        <v>126</v>
      </c>
      <c r="C17" s="36">
        <v>42517</v>
      </c>
      <c r="D17" s="14">
        <f t="shared" si="2"/>
        <v>42517</v>
      </c>
      <c r="E17" s="43" t="str">
        <f t="shared" si="0"/>
        <v>-</v>
      </c>
      <c r="F17" s="44">
        <f t="shared" si="1"/>
        <v>1</v>
      </c>
    </row>
    <row r="18" spans="1:6" ht="33" customHeight="1" x14ac:dyDescent="0.2">
      <c r="A18" s="93" t="s">
        <v>8</v>
      </c>
      <c r="B18" s="15" t="s">
        <v>122</v>
      </c>
      <c r="C18" s="36">
        <v>99203</v>
      </c>
      <c r="D18" s="14">
        <f t="shared" si="2"/>
        <v>99203</v>
      </c>
      <c r="E18" s="43" t="str">
        <f t="shared" si="0"/>
        <v>-</v>
      </c>
      <c r="F18" s="44">
        <f t="shared" si="1"/>
        <v>1</v>
      </c>
    </row>
    <row r="19" spans="1:6" ht="33" customHeight="1" x14ac:dyDescent="0.2">
      <c r="A19" s="93" t="s">
        <v>9</v>
      </c>
      <c r="B19" s="15" t="s">
        <v>123</v>
      </c>
      <c r="C19" s="36">
        <v>35327</v>
      </c>
      <c r="D19" s="14">
        <f t="shared" si="2"/>
        <v>35327</v>
      </c>
      <c r="E19" s="43" t="str">
        <f t="shared" si="0"/>
        <v>-</v>
      </c>
      <c r="F19" s="44">
        <f t="shared" si="1"/>
        <v>1</v>
      </c>
    </row>
    <row r="20" spans="1:6" ht="33" customHeight="1" x14ac:dyDescent="0.2">
      <c r="A20" s="93" t="s">
        <v>10</v>
      </c>
      <c r="B20" s="15" t="s">
        <v>128</v>
      </c>
      <c r="C20" s="36">
        <v>2981</v>
      </c>
      <c r="D20" s="14">
        <f t="shared" si="2"/>
        <v>2981</v>
      </c>
      <c r="E20" s="43" t="str">
        <f t="shared" si="0"/>
        <v>-</v>
      </c>
      <c r="F20" s="44">
        <f t="shared" si="1"/>
        <v>1</v>
      </c>
    </row>
    <row r="21" spans="1:6" ht="46.5" customHeight="1" x14ac:dyDescent="0.2">
      <c r="A21" s="93" t="s">
        <v>11</v>
      </c>
      <c r="B21" s="15" t="s">
        <v>124</v>
      </c>
      <c r="C21" s="36">
        <v>11430</v>
      </c>
      <c r="D21" s="14">
        <f t="shared" si="2"/>
        <v>11430</v>
      </c>
      <c r="E21" s="43" t="str">
        <f t="shared" si="0"/>
        <v>-</v>
      </c>
      <c r="F21" s="44">
        <f t="shared" si="1"/>
        <v>1</v>
      </c>
    </row>
    <row r="22" spans="1:6" ht="33" customHeight="1" x14ac:dyDescent="0.2">
      <c r="A22" s="93" t="s">
        <v>12</v>
      </c>
      <c r="B22" s="15" t="s">
        <v>165</v>
      </c>
      <c r="C22" s="36">
        <v>111784</v>
      </c>
      <c r="D22" s="14">
        <f>C22+2200</f>
        <v>113984</v>
      </c>
      <c r="E22" s="43">
        <f t="shared" si="0"/>
        <v>2200</v>
      </c>
      <c r="F22" s="44">
        <f t="shared" si="1"/>
        <v>1.0197000000000001</v>
      </c>
    </row>
    <row r="23" spans="1:6" ht="33" customHeight="1" x14ac:dyDescent="0.2">
      <c r="A23" s="93" t="s">
        <v>13</v>
      </c>
      <c r="B23" s="15" t="s">
        <v>149</v>
      </c>
      <c r="C23" s="36">
        <v>49000</v>
      </c>
      <c r="D23" s="14">
        <f>C23+4000</f>
        <v>53000</v>
      </c>
      <c r="E23" s="43">
        <f t="shared" si="0"/>
        <v>4000</v>
      </c>
      <c r="F23" s="44">
        <f t="shared" si="1"/>
        <v>1.0815999999999999</v>
      </c>
    </row>
    <row r="24" spans="1:6" ht="33" customHeight="1" x14ac:dyDescent="0.2">
      <c r="A24" s="95" t="s">
        <v>14</v>
      </c>
      <c r="B24" s="35" t="s">
        <v>222</v>
      </c>
      <c r="C24" s="36">
        <v>461611</v>
      </c>
      <c r="D24" s="36">
        <f>SUM(D25:D27)</f>
        <v>461611</v>
      </c>
      <c r="E24" s="43" t="str">
        <f t="shared" si="0"/>
        <v>-</v>
      </c>
      <c r="F24" s="44">
        <f t="shared" si="1"/>
        <v>1</v>
      </c>
    </row>
    <row r="25" spans="1:6" ht="37.5" x14ac:dyDescent="0.2">
      <c r="A25" s="94" t="s">
        <v>129</v>
      </c>
      <c r="B25" s="89" t="s">
        <v>151</v>
      </c>
      <c r="C25" s="36">
        <v>460578</v>
      </c>
      <c r="D25" s="14">
        <f t="shared" si="2"/>
        <v>460578</v>
      </c>
      <c r="E25" s="43" t="str">
        <f t="shared" si="0"/>
        <v>-</v>
      </c>
      <c r="F25" s="44">
        <f t="shared" si="1"/>
        <v>1</v>
      </c>
    </row>
    <row r="26" spans="1:6" ht="31.5" customHeight="1" x14ac:dyDescent="0.2">
      <c r="A26" s="94" t="s">
        <v>150</v>
      </c>
      <c r="B26" s="89" t="s">
        <v>153</v>
      </c>
      <c r="C26" s="36">
        <v>600</v>
      </c>
      <c r="D26" s="14">
        <f t="shared" si="2"/>
        <v>600</v>
      </c>
      <c r="E26" s="43" t="str">
        <f t="shared" si="0"/>
        <v>-</v>
      </c>
      <c r="F26" s="44">
        <f t="shared" si="1"/>
        <v>1</v>
      </c>
    </row>
    <row r="27" spans="1:6" ht="37.5" x14ac:dyDescent="0.2">
      <c r="A27" s="94" t="s">
        <v>154</v>
      </c>
      <c r="B27" s="89" t="s">
        <v>152</v>
      </c>
      <c r="C27" s="36">
        <v>433</v>
      </c>
      <c r="D27" s="14">
        <f t="shared" si="2"/>
        <v>433</v>
      </c>
      <c r="E27" s="43" t="str">
        <f t="shared" si="0"/>
        <v>-</v>
      </c>
      <c r="F27" s="44">
        <f t="shared" si="1"/>
        <v>1</v>
      </c>
    </row>
    <row r="28" spans="1:6" ht="33" customHeight="1" x14ac:dyDescent="0.2">
      <c r="A28" s="96" t="s">
        <v>15</v>
      </c>
      <c r="B28" s="16" t="s">
        <v>113</v>
      </c>
      <c r="C28" s="36">
        <v>0</v>
      </c>
      <c r="D28" s="14">
        <f t="shared" si="2"/>
        <v>0</v>
      </c>
      <c r="E28" s="43" t="str">
        <f t="shared" si="0"/>
        <v>-</v>
      </c>
      <c r="F28" s="44" t="str">
        <f t="shared" si="1"/>
        <v>-</v>
      </c>
    </row>
    <row r="29" spans="1:6" ht="33" customHeight="1" x14ac:dyDescent="0.2">
      <c r="A29" s="96" t="s">
        <v>110</v>
      </c>
      <c r="B29" s="17" t="s">
        <v>155</v>
      </c>
      <c r="C29" s="36">
        <v>0</v>
      </c>
      <c r="D29" s="14">
        <f>C29</f>
        <v>0</v>
      </c>
      <c r="E29" s="43" t="str">
        <f t="shared" si="0"/>
        <v>-</v>
      </c>
      <c r="F29" s="44" t="str">
        <f t="shared" si="1"/>
        <v>-</v>
      </c>
    </row>
    <row r="30" spans="1:6" ht="31.5" customHeight="1" x14ac:dyDescent="0.2">
      <c r="A30" s="94" t="s">
        <v>156</v>
      </c>
      <c r="B30" s="89" t="s">
        <v>167</v>
      </c>
      <c r="C30" s="36">
        <v>0</v>
      </c>
      <c r="D30" s="14">
        <f t="shared" si="2"/>
        <v>0</v>
      </c>
      <c r="E30" s="43" t="str">
        <f t="shared" si="0"/>
        <v>-</v>
      </c>
      <c r="F30" s="44" t="str">
        <f t="shared" si="1"/>
        <v>-</v>
      </c>
    </row>
    <row r="31" spans="1:6" ht="33" customHeight="1" x14ac:dyDescent="0.2">
      <c r="A31" s="96" t="s">
        <v>111</v>
      </c>
      <c r="B31" s="17" t="s">
        <v>114</v>
      </c>
      <c r="C31" s="36">
        <v>0</v>
      </c>
      <c r="D31" s="14">
        <f t="shared" si="2"/>
        <v>0</v>
      </c>
      <c r="E31" s="43" t="str">
        <f t="shared" si="0"/>
        <v>-</v>
      </c>
      <c r="F31" s="44" t="str">
        <f t="shared" si="1"/>
        <v>-</v>
      </c>
    </row>
    <row r="32" spans="1:6" ht="33" customHeight="1" x14ac:dyDescent="0.2">
      <c r="A32" s="96" t="s">
        <v>112</v>
      </c>
      <c r="B32" s="17" t="s">
        <v>166</v>
      </c>
      <c r="C32" s="36">
        <v>15928</v>
      </c>
      <c r="D32" s="14">
        <f>C32+10728</f>
        <v>26656</v>
      </c>
      <c r="E32" s="43">
        <f t="shared" si="0"/>
        <v>10728</v>
      </c>
      <c r="F32" s="44">
        <f t="shared" si="1"/>
        <v>1.6735</v>
      </c>
    </row>
    <row r="33" spans="1:6" ht="42.75" customHeight="1" x14ac:dyDescent="0.2">
      <c r="A33" s="96" t="s">
        <v>223</v>
      </c>
      <c r="B33" s="17" t="s">
        <v>224</v>
      </c>
      <c r="C33" s="36">
        <v>0</v>
      </c>
      <c r="D33" s="14">
        <f t="shared" si="2"/>
        <v>0</v>
      </c>
      <c r="E33" s="43" t="str">
        <f>IF(C33=D33,"-",D33-C33)</f>
        <v>-</v>
      </c>
      <c r="F33" s="44" t="str">
        <f>IF(C33=0,"-",D33/C33)</f>
        <v>-</v>
      </c>
    </row>
    <row r="34" spans="1:6" ht="33" customHeight="1" x14ac:dyDescent="0.2">
      <c r="A34" s="96" t="s">
        <v>233</v>
      </c>
      <c r="B34" s="17" t="s">
        <v>234</v>
      </c>
      <c r="C34" s="36">
        <v>100</v>
      </c>
      <c r="D34" s="14">
        <f t="shared" si="2"/>
        <v>100</v>
      </c>
      <c r="E34" s="43" t="str">
        <f>IF(C34=D34,"-",D34-C34)</f>
        <v>-</v>
      </c>
      <c r="F34" s="44">
        <f>IF(C34=0,"-",D34/C34)</f>
        <v>1</v>
      </c>
    </row>
    <row r="35" spans="1:6" s="3" customFormat="1" ht="31.5" customHeight="1" x14ac:dyDescent="0.2">
      <c r="A35" s="97" t="s">
        <v>58</v>
      </c>
      <c r="B35" s="18" t="s">
        <v>59</v>
      </c>
      <c r="C35" s="37">
        <v>0</v>
      </c>
      <c r="D35" s="42">
        <f>C35</f>
        <v>0</v>
      </c>
      <c r="E35" s="8" t="str">
        <f t="shared" si="0"/>
        <v>-</v>
      </c>
      <c r="F35" s="45" t="str">
        <f t="shared" si="1"/>
        <v>-</v>
      </c>
    </row>
    <row r="36" spans="1:6" s="3" customFormat="1" ht="31.5" customHeight="1" x14ac:dyDescent="0.2">
      <c r="A36" s="97" t="s">
        <v>57</v>
      </c>
      <c r="B36" s="18" t="s">
        <v>60</v>
      </c>
      <c r="C36" s="37">
        <v>110936</v>
      </c>
      <c r="D36" s="42">
        <f>C36</f>
        <v>110936</v>
      </c>
      <c r="E36" s="8" t="str">
        <f t="shared" si="0"/>
        <v>-</v>
      </c>
      <c r="F36" s="45">
        <f t="shared" si="1"/>
        <v>1</v>
      </c>
    </row>
    <row r="37" spans="1:6" s="3" customFormat="1" ht="40.5" x14ac:dyDescent="0.2">
      <c r="A37" s="97" t="s">
        <v>235</v>
      </c>
      <c r="B37" s="18" t="s">
        <v>236</v>
      </c>
      <c r="C37" s="37">
        <v>28394</v>
      </c>
      <c r="D37" s="42">
        <f>C37</f>
        <v>28394</v>
      </c>
      <c r="E37" s="8" t="str">
        <f t="shared" si="0"/>
        <v>-</v>
      </c>
      <c r="F37" s="45">
        <f t="shared" si="1"/>
        <v>1</v>
      </c>
    </row>
    <row r="38" spans="1:6" s="3" customFormat="1" ht="42.75" customHeight="1" x14ac:dyDescent="0.2">
      <c r="A38" s="97" t="s">
        <v>157</v>
      </c>
      <c r="B38" s="18" t="s">
        <v>158</v>
      </c>
      <c r="C38" s="37">
        <f>C11+C13+C24+C30</f>
        <v>646005</v>
      </c>
      <c r="D38" s="37">
        <f>D11+D13+D24+D30</f>
        <v>646005</v>
      </c>
      <c r="E38" s="8" t="str">
        <f t="shared" si="0"/>
        <v>-</v>
      </c>
      <c r="F38" s="45">
        <f t="shared" si="1"/>
        <v>1</v>
      </c>
    </row>
    <row r="39" spans="1:6" ht="30" customHeight="1" x14ac:dyDescent="0.2">
      <c r="A39" s="151" t="s">
        <v>16</v>
      </c>
      <c r="B39" s="152" t="s">
        <v>228</v>
      </c>
      <c r="C39" s="135">
        <f>C40+C41+C42+C50+C52+C58+C59+C57</f>
        <v>31250</v>
      </c>
      <c r="D39" s="135">
        <f>D40+D41+D42+D50+D52+D58+D59+D57</f>
        <v>31250</v>
      </c>
      <c r="E39" s="131" t="str">
        <f t="shared" si="0"/>
        <v>-</v>
      </c>
      <c r="F39" s="153">
        <f t="shared" si="1"/>
        <v>1</v>
      </c>
    </row>
    <row r="40" spans="1:6" ht="28.5" customHeight="1" x14ac:dyDescent="0.2">
      <c r="A40" s="96" t="s">
        <v>17</v>
      </c>
      <c r="B40" s="20" t="s">
        <v>18</v>
      </c>
      <c r="C40" s="36">
        <v>2740</v>
      </c>
      <c r="D40" s="38">
        <f>C40</f>
        <v>2740</v>
      </c>
      <c r="E40" s="43" t="str">
        <f t="shared" si="0"/>
        <v>-</v>
      </c>
      <c r="F40" s="44">
        <f t="shared" si="1"/>
        <v>1</v>
      </c>
    </row>
    <row r="41" spans="1:6" ht="28.5" customHeight="1" x14ac:dyDescent="0.2">
      <c r="A41" s="96" t="s">
        <v>19</v>
      </c>
      <c r="B41" s="20" t="s">
        <v>20</v>
      </c>
      <c r="C41" s="36">
        <v>4152</v>
      </c>
      <c r="D41" s="38">
        <f t="shared" ref="D41:D59" si="3">C41</f>
        <v>4152</v>
      </c>
      <c r="E41" s="43" t="str">
        <f t="shared" si="0"/>
        <v>-</v>
      </c>
      <c r="F41" s="44">
        <f t="shared" si="1"/>
        <v>1</v>
      </c>
    </row>
    <row r="42" spans="1:6" ht="28.5" customHeight="1" x14ac:dyDescent="0.2">
      <c r="A42" s="96" t="s">
        <v>21</v>
      </c>
      <c r="B42" s="21" t="s">
        <v>229</v>
      </c>
      <c r="C42" s="38">
        <f>C43+C45+C46+C47+C48+C49</f>
        <v>236</v>
      </c>
      <c r="D42" s="38">
        <f>D43+D45+D46+D47+D48+D49</f>
        <v>236</v>
      </c>
      <c r="E42" s="43" t="str">
        <f t="shared" si="0"/>
        <v>-</v>
      </c>
      <c r="F42" s="44">
        <f t="shared" si="1"/>
        <v>1</v>
      </c>
    </row>
    <row r="43" spans="1:6" ht="28.5" customHeight="1" x14ac:dyDescent="0.2">
      <c r="A43" s="99" t="s">
        <v>39</v>
      </c>
      <c r="B43" s="90" t="s">
        <v>32</v>
      </c>
      <c r="C43" s="36">
        <v>33</v>
      </c>
      <c r="D43" s="38">
        <f t="shared" si="3"/>
        <v>33</v>
      </c>
      <c r="E43" s="43" t="str">
        <f t="shared" si="0"/>
        <v>-</v>
      </c>
      <c r="F43" s="44">
        <f t="shared" si="1"/>
        <v>1</v>
      </c>
    </row>
    <row r="44" spans="1:6" ht="28.5" customHeight="1" x14ac:dyDescent="0.2">
      <c r="A44" s="99" t="s">
        <v>40</v>
      </c>
      <c r="B44" s="91" t="s">
        <v>33</v>
      </c>
      <c r="C44" s="36">
        <v>33</v>
      </c>
      <c r="D44" s="38">
        <f t="shared" si="3"/>
        <v>33</v>
      </c>
      <c r="E44" s="43" t="str">
        <f t="shared" si="0"/>
        <v>-</v>
      </c>
      <c r="F44" s="44">
        <f t="shared" si="1"/>
        <v>1</v>
      </c>
    </row>
    <row r="45" spans="1:6" ht="28.5" customHeight="1" x14ac:dyDescent="0.2">
      <c r="A45" s="99" t="s">
        <v>41</v>
      </c>
      <c r="B45" s="90" t="s">
        <v>34</v>
      </c>
      <c r="C45" s="36">
        <v>26</v>
      </c>
      <c r="D45" s="38">
        <f t="shared" si="3"/>
        <v>26</v>
      </c>
      <c r="E45" s="43" t="str">
        <f t="shared" si="0"/>
        <v>-</v>
      </c>
      <c r="F45" s="44">
        <f t="shared" si="1"/>
        <v>1</v>
      </c>
    </row>
    <row r="46" spans="1:6" ht="28.5" customHeight="1" x14ac:dyDescent="0.2">
      <c r="A46" s="99" t="s">
        <v>42</v>
      </c>
      <c r="B46" s="90" t="s">
        <v>35</v>
      </c>
      <c r="C46" s="36">
        <v>0</v>
      </c>
      <c r="D46" s="38">
        <f t="shared" si="3"/>
        <v>0</v>
      </c>
      <c r="E46" s="43" t="str">
        <f t="shared" si="0"/>
        <v>-</v>
      </c>
      <c r="F46" s="44" t="str">
        <f t="shared" si="1"/>
        <v>-</v>
      </c>
    </row>
    <row r="47" spans="1:6" ht="28.5" customHeight="1" x14ac:dyDescent="0.2">
      <c r="A47" s="99" t="s">
        <v>43</v>
      </c>
      <c r="B47" s="90" t="s">
        <v>36</v>
      </c>
      <c r="C47" s="36">
        <v>0</v>
      </c>
      <c r="D47" s="38">
        <f t="shared" si="3"/>
        <v>0</v>
      </c>
      <c r="E47" s="43" t="str">
        <f t="shared" si="0"/>
        <v>-</v>
      </c>
      <c r="F47" s="44" t="str">
        <f t="shared" si="1"/>
        <v>-</v>
      </c>
    </row>
    <row r="48" spans="1:6" ht="28.5" customHeight="1" x14ac:dyDescent="0.2">
      <c r="A48" s="99" t="s">
        <v>44</v>
      </c>
      <c r="B48" s="90" t="s">
        <v>37</v>
      </c>
      <c r="C48" s="36">
        <v>167</v>
      </c>
      <c r="D48" s="38">
        <f t="shared" si="3"/>
        <v>167</v>
      </c>
      <c r="E48" s="43" t="str">
        <f t="shared" si="0"/>
        <v>-</v>
      </c>
      <c r="F48" s="44">
        <f t="shared" si="1"/>
        <v>1</v>
      </c>
    </row>
    <row r="49" spans="1:6" ht="28.5" customHeight="1" x14ac:dyDescent="0.2">
      <c r="A49" s="99" t="s">
        <v>45</v>
      </c>
      <c r="B49" s="90" t="s">
        <v>38</v>
      </c>
      <c r="C49" s="36">
        <v>10</v>
      </c>
      <c r="D49" s="38">
        <f t="shared" si="3"/>
        <v>10</v>
      </c>
      <c r="E49" s="43" t="str">
        <f t="shared" si="0"/>
        <v>-</v>
      </c>
      <c r="F49" s="44">
        <f t="shared" si="1"/>
        <v>1</v>
      </c>
    </row>
    <row r="50" spans="1:6" ht="28.5" customHeight="1" x14ac:dyDescent="0.2">
      <c r="A50" s="96" t="s">
        <v>22</v>
      </c>
      <c r="B50" s="20" t="s">
        <v>159</v>
      </c>
      <c r="C50" s="36">
        <v>15346</v>
      </c>
      <c r="D50" s="38">
        <f t="shared" si="3"/>
        <v>15346</v>
      </c>
      <c r="E50" s="43" t="str">
        <f t="shared" si="0"/>
        <v>-</v>
      </c>
      <c r="F50" s="44">
        <f t="shared" si="1"/>
        <v>1</v>
      </c>
    </row>
    <row r="51" spans="1:6" ht="28.5" customHeight="1" x14ac:dyDescent="0.2">
      <c r="A51" s="99" t="s">
        <v>160</v>
      </c>
      <c r="B51" s="90" t="s">
        <v>161</v>
      </c>
      <c r="C51" s="36">
        <v>0</v>
      </c>
      <c r="D51" s="38">
        <f t="shared" si="3"/>
        <v>0</v>
      </c>
      <c r="E51" s="43" t="str">
        <f t="shared" si="0"/>
        <v>-</v>
      </c>
      <c r="F51" s="44" t="str">
        <f t="shared" si="1"/>
        <v>-</v>
      </c>
    </row>
    <row r="52" spans="1:6" ht="28.5" customHeight="1" x14ac:dyDescent="0.2">
      <c r="A52" s="96" t="s">
        <v>23</v>
      </c>
      <c r="B52" s="21" t="s">
        <v>227</v>
      </c>
      <c r="C52" s="34">
        <f>C53+C54+C55+C56</f>
        <v>3453</v>
      </c>
      <c r="D52" s="34">
        <f>D53+D54+D55+D56</f>
        <v>3453</v>
      </c>
      <c r="E52" s="43" t="str">
        <f t="shared" si="0"/>
        <v>-</v>
      </c>
      <c r="F52" s="44">
        <f t="shared" si="1"/>
        <v>1</v>
      </c>
    </row>
    <row r="53" spans="1:6" ht="28.5" customHeight="1" x14ac:dyDescent="0.2">
      <c r="A53" s="99" t="s">
        <v>50</v>
      </c>
      <c r="B53" s="90" t="s">
        <v>46</v>
      </c>
      <c r="C53" s="36">
        <v>2576</v>
      </c>
      <c r="D53" s="38">
        <f t="shared" si="3"/>
        <v>2576</v>
      </c>
      <c r="E53" s="43" t="str">
        <f t="shared" si="0"/>
        <v>-</v>
      </c>
      <c r="F53" s="44">
        <f t="shared" si="1"/>
        <v>1</v>
      </c>
    </row>
    <row r="54" spans="1:6" ht="28.5" customHeight="1" x14ac:dyDescent="0.2">
      <c r="A54" s="99" t="s">
        <v>51</v>
      </c>
      <c r="B54" s="90" t="s">
        <v>47</v>
      </c>
      <c r="C54" s="36">
        <v>297</v>
      </c>
      <c r="D54" s="38">
        <f t="shared" si="3"/>
        <v>297</v>
      </c>
      <c r="E54" s="43" t="str">
        <f t="shared" si="0"/>
        <v>-</v>
      </c>
      <c r="F54" s="44">
        <f t="shared" si="1"/>
        <v>1</v>
      </c>
    </row>
    <row r="55" spans="1:6" ht="28.5" customHeight="1" x14ac:dyDescent="0.2">
      <c r="A55" s="99" t="s">
        <v>52</v>
      </c>
      <c r="B55" s="90" t="s">
        <v>48</v>
      </c>
      <c r="C55" s="36">
        <v>0</v>
      </c>
      <c r="D55" s="38">
        <f t="shared" si="3"/>
        <v>0</v>
      </c>
      <c r="E55" s="43" t="str">
        <f t="shared" si="0"/>
        <v>-</v>
      </c>
      <c r="F55" s="44" t="str">
        <f t="shared" si="1"/>
        <v>-</v>
      </c>
    </row>
    <row r="56" spans="1:6" ht="28.5" customHeight="1" x14ac:dyDescent="0.2">
      <c r="A56" s="99" t="s">
        <v>53</v>
      </c>
      <c r="B56" s="90" t="s">
        <v>49</v>
      </c>
      <c r="C56" s="36">
        <v>580</v>
      </c>
      <c r="D56" s="38">
        <f t="shared" si="3"/>
        <v>580</v>
      </c>
      <c r="E56" s="43" t="str">
        <f t="shared" si="0"/>
        <v>-</v>
      </c>
      <c r="F56" s="44">
        <f t="shared" si="1"/>
        <v>1</v>
      </c>
    </row>
    <row r="57" spans="1:6" ht="28.5" customHeight="1" x14ac:dyDescent="0.2">
      <c r="A57" s="96" t="s">
        <v>24</v>
      </c>
      <c r="B57" s="20" t="s">
        <v>25</v>
      </c>
      <c r="C57" s="36">
        <v>0</v>
      </c>
      <c r="D57" s="38">
        <f t="shared" si="3"/>
        <v>0</v>
      </c>
      <c r="E57" s="43" t="str">
        <f t="shared" si="0"/>
        <v>-</v>
      </c>
      <c r="F57" s="44" t="str">
        <f t="shared" si="1"/>
        <v>-</v>
      </c>
    </row>
    <row r="58" spans="1:6" ht="28.5" customHeight="1" x14ac:dyDescent="0.2">
      <c r="A58" s="96" t="s">
        <v>26</v>
      </c>
      <c r="B58" s="20" t="s">
        <v>162</v>
      </c>
      <c r="C58" s="36">
        <v>5025</v>
      </c>
      <c r="D58" s="38">
        <f t="shared" si="3"/>
        <v>5025</v>
      </c>
      <c r="E58" s="43" t="str">
        <f t="shared" si="0"/>
        <v>-</v>
      </c>
      <c r="F58" s="46">
        <f t="shared" si="1"/>
        <v>1</v>
      </c>
    </row>
    <row r="59" spans="1:6" ht="28.5" customHeight="1" x14ac:dyDescent="0.2">
      <c r="A59" s="96" t="s">
        <v>27</v>
      </c>
      <c r="B59" s="20" t="s">
        <v>28</v>
      </c>
      <c r="C59" s="36">
        <v>298</v>
      </c>
      <c r="D59" s="38">
        <f t="shared" si="3"/>
        <v>298</v>
      </c>
      <c r="E59" s="43" t="str">
        <f t="shared" si="0"/>
        <v>-</v>
      </c>
      <c r="F59" s="44">
        <f t="shared" si="1"/>
        <v>1</v>
      </c>
    </row>
    <row r="60" spans="1:6" ht="30" customHeight="1" x14ac:dyDescent="0.2">
      <c r="A60" s="142" t="s">
        <v>135</v>
      </c>
      <c r="B60" s="143" t="s">
        <v>163</v>
      </c>
      <c r="C60" s="154">
        <f>C61+C62+C63+C64</f>
        <v>45501</v>
      </c>
      <c r="D60" s="154">
        <f>D61+D62+D63+D64</f>
        <v>45501</v>
      </c>
      <c r="E60" s="131" t="str">
        <f t="shared" si="0"/>
        <v>-</v>
      </c>
      <c r="F60" s="155">
        <f t="shared" si="1"/>
        <v>1</v>
      </c>
    </row>
    <row r="61" spans="1:6" ht="42" customHeight="1" x14ac:dyDescent="0.2">
      <c r="A61" s="96" t="s">
        <v>101</v>
      </c>
      <c r="B61" s="20" t="s">
        <v>115</v>
      </c>
      <c r="C61" s="36">
        <v>0</v>
      </c>
      <c r="D61" s="38">
        <f>C61</f>
        <v>0</v>
      </c>
      <c r="E61" s="34" t="str">
        <f t="shared" si="0"/>
        <v>-</v>
      </c>
      <c r="F61" s="44" t="str">
        <f t="shared" si="1"/>
        <v>-</v>
      </c>
    </row>
    <row r="62" spans="1:6" ht="31.5" customHeight="1" x14ac:dyDescent="0.2">
      <c r="A62" s="96" t="s">
        <v>30</v>
      </c>
      <c r="B62" s="20" t="s">
        <v>55</v>
      </c>
      <c r="C62" s="36">
        <v>38601</v>
      </c>
      <c r="D62" s="38">
        <f>C62</f>
        <v>38601</v>
      </c>
      <c r="E62" s="34" t="str">
        <f t="shared" si="0"/>
        <v>-</v>
      </c>
      <c r="F62" s="44">
        <f t="shared" si="1"/>
        <v>1</v>
      </c>
    </row>
    <row r="63" spans="1:6" ht="31.5" customHeight="1" x14ac:dyDescent="0.2">
      <c r="A63" s="96" t="s">
        <v>31</v>
      </c>
      <c r="B63" s="20" t="s">
        <v>103</v>
      </c>
      <c r="C63" s="36">
        <v>0</v>
      </c>
      <c r="D63" s="38">
        <f>C63</f>
        <v>0</v>
      </c>
      <c r="E63" s="34" t="str">
        <f t="shared" si="0"/>
        <v>-</v>
      </c>
      <c r="F63" s="44" t="str">
        <f t="shared" si="1"/>
        <v>-</v>
      </c>
    </row>
    <row r="64" spans="1:6" ht="31.5" customHeight="1" x14ac:dyDescent="0.2">
      <c r="A64" s="96" t="s">
        <v>102</v>
      </c>
      <c r="B64" s="20" t="s">
        <v>104</v>
      </c>
      <c r="C64" s="36">
        <v>6900</v>
      </c>
      <c r="D64" s="38">
        <f>C64</f>
        <v>6900</v>
      </c>
      <c r="E64" s="34" t="str">
        <f t="shared" si="0"/>
        <v>-</v>
      </c>
      <c r="F64" s="44">
        <f t="shared" si="1"/>
        <v>1</v>
      </c>
    </row>
    <row r="65" spans="1:6" ht="32.25" customHeight="1" x14ac:dyDescent="0.2">
      <c r="A65" s="142" t="s">
        <v>137</v>
      </c>
      <c r="B65" s="143" t="s">
        <v>116</v>
      </c>
      <c r="C65" s="154">
        <v>18259</v>
      </c>
      <c r="D65" s="154">
        <f>C65</f>
        <v>18259</v>
      </c>
      <c r="E65" s="131" t="str">
        <f t="shared" si="0"/>
        <v>-</v>
      </c>
      <c r="F65" s="155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5.7109375" style="2" customWidth="1"/>
    <col min="4" max="4" width="26.85546875" style="2" customWidth="1"/>
    <col min="5" max="5" width="25.140625" style="2" customWidth="1"/>
    <col min="6" max="6" width="20.7109375" style="2" customWidth="1"/>
    <col min="7" max="16384" width="9.140625" style="2"/>
  </cols>
  <sheetData>
    <row r="1" spans="1:6" s="24" customFormat="1" ht="46.5" customHeight="1" x14ac:dyDescent="0.2">
      <c r="A1" s="160" t="str">
        <f>NFZ!A1</f>
        <v>ZMIANA PLANU FINANSOWEGO NARODOWEGO FUNDUSZU ZDROWIA NA 2017 ROK Z DNIA 18 LIPCA 2017 R.</v>
      </c>
      <c r="B1" s="160"/>
      <c r="C1" s="160"/>
      <c r="D1" s="160"/>
      <c r="E1" s="160"/>
      <c r="F1" s="160"/>
    </row>
    <row r="2" spans="1:6" s="26" customFormat="1" ht="33" customHeight="1" x14ac:dyDescent="0.2">
      <c r="A2" s="115" t="s">
        <v>63</v>
      </c>
      <c r="B2" s="115"/>
      <c r="C2" s="116"/>
    </row>
    <row r="3" spans="1:6" ht="33" customHeight="1" x14ac:dyDescent="0.25">
      <c r="A3" s="5"/>
      <c r="B3" s="6"/>
      <c r="C3" s="40"/>
      <c r="D3" s="40"/>
      <c r="E3" s="40" t="s">
        <v>141</v>
      </c>
      <c r="F3" s="7"/>
    </row>
    <row r="4" spans="1:6" s="117" customFormat="1" ht="65.099999999999994" customHeight="1" x14ac:dyDescent="0.2">
      <c r="A4" s="124" t="s">
        <v>118</v>
      </c>
      <c r="B4" s="124" t="s">
        <v>54</v>
      </c>
      <c r="C4" s="125" t="s">
        <v>230</v>
      </c>
      <c r="D4" s="125" t="s">
        <v>171</v>
      </c>
      <c r="E4" s="126" t="s">
        <v>172</v>
      </c>
      <c r="F4" s="126" t="s">
        <v>173</v>
      </c>
    </row>
    <row r="5" spans="1:6" s="118" customFormat="1" ht="14.25" x14ac:dyDescent="0.2">
      <c r="A5" s="127">
        <v>1</v>
      </c>
      <c r="B5" s="128">
        <v>2</v>
      </c>
      <c r="C5" s="127">
        <v>3</v>
      </c>
      <c r="D5" s="128">
        <v>4</v>
      </c>
      <c r="E5" s="127">
        <v>5</v>
      </c>
      <c r="F5" s="128">
        <v>6</v>
      </c>
    </row>
    <row r="6" spans="1:6" ht="30" customHeight="1" x14ac:dyDescent="0.2">
      <c r="A6" s="101" t="s">
        <v>0</v>
      </c>
      <c r="B6" s="73" t="s">
        <v>232</v>
      </c>
      <c r="C6" s="150">
        <f>C7+C8+C9+C14+C15+C16+C17+C18+C19+C20+C21+C22+C23+C24+C28+C29+C31+C32+C33+C34</f>
        <v>4056735</v>
      </c>
      <c r="D6" s="150">
        <f>D7+D8+D9+D14+D15+D16+D17+D18+D19+D20+D21+D22+D23+D24+D28+D29+D31+D32+D33+D34</f>
        <v>4137884</v>
      </c>
      <c r="E6" s="131">
        <f>IF(C6=D6,"-",D6-C6)</f>
        <v>81149</v>
      </c>
      <c r="F6" s="148">
        <f>IF(C6=0,"-",D6/C6)</f>
        <v>1.02</v>
      </c>
    </row>
    <row r="7" spans="1:6" ht="33" customHeight="1" x14ac:dyDescent="0.2">
      <c r="A7" s="93" t="s">
        <v>1</v>
      </c>
      <c r="B7" s="15" t="s">
        <v>119</v>
      </c>
      <c r="C7" s="36">
        <v>545716</v>
      </c>
      <c r="D7" s="14">
        <f>C7+12500</f>
        <v>558216</v>
      </c>
      <c r="E7" s="43">
        <f t="shared" ref="E7:E65" si="0">IF(C7=D7,"-",D7-C7)</f>
        <v>12500</v>
      </c>
      <c r="F7" s="44">
        <f t="shared" ref="F7:F65" si="1">IF(C7=0,"-",D7/C7)</f>
        <v>1.0228999999999999</v>
      </c>
    </row>
    <row r="8" spans="1:6" ht="33" customHeight="1" x14ac:dyDescent="0.2">
      <c r="A8" s="93" t="s">
        <v>2</v>
      </c>
      <c r="B8" s="15" t="s">
        <v>120</v>
      </c>
      <c r="C8" s="36">
        <v>317228</v>
      </c>
      <c r="D8" s="14">
        <f>C8</f>
        <v>317228</v>
      </c>
      <c r="E8" s="43" t="str">
        <f t="shared" si="0"/>
        <v>-</v>
      </c>
      <c r="F8" s="44">
        <f t="shared" si="1"/>
        <v>1</v>
      </c>
    </row>
    <row r="9" spans="1:6" ht="33" customHeight="1" x14ac:dyDescent="0.2">
      <c r="A9" s="93" t="s">
        <v>3</v>
      </c>
      <c r="B9" s="15" t="s">
        <v>117</v>
      </c>
      <c r="C9" s="36">
        <v>1960797</v>
      </c>
      <c r="D9" s="14">
        <f>C9+68649</f>
        <v>2029446</v>
      </c>
      <c r="E9" s="43">
        <f t="shared" si="0"/>
        <v>68649</v>
      </c>
      <c r="F9" s="44">
        <f t="shared" si="1"/>
        <v>1.0349999999999999</v>
      </c>
    </row>
    <row r="10" spans="1:6" ht="31.5" customHeight="1" x14ac:dyDescent="0.2">
      <c r="A10" s="94" t="s">
        <v>56</v>
      </c>
      <c r="B10" s="89" t="s">
        <v>142</v>
      </c>
      <c r="C10" s="36">
        <v>167452</v>
      </c>
      <c r="D10" s="14">
        <f t="shared" ref="D10:D34" si="2">C10</f>
        <v>167452</v>
      </c>
      <c r="E10" s="43" t="str">
        <f t="shared" si="0"/>
        <v>-</v>
      </c>
      <c r="F10" s="44">
        <f t="shared" si="1"/>
        <v>1</v>
      </c>
    </row>
    <row r="11" spans="1:6" ht="31.5" customHeight="1" x14ac:dyDescent="0.2">
      <c r="A11" s="94" t="s">
        <v>143</v>
      </c>
      <c r="B11" s="89" t="s">
        <v>146</v>
      </c>
      <c r="C11" s="36">
        <v>151270</v>
      </c>
      <c r="D11" s="14">
        <f t="shared" si="2"/>
        <v>151270</v>
      </c>
      <c r="E11" s="43" t="str">
        <f t="shared" si="0"/>
        <v>-</v>
      </c>
      <c r="F11" s="44">
        <f t="shared" si="1"/>
        <v>1</v>
      </c>
    </row>
    <row r="12" spans="1:6" ht="31.5" customHeight="1" x14ac:dyDescent="0.2">
      <c r="A12" s="94" t="s">
        <v>144</v>
      </c>
      <c r="B12" s="89" t="s">
        <v>147</v>
      </c>
      <c r="C12" s="36">
        <v>84461</v>
      </c>
      <c r="D12" s="14">
        <f t="shared" si="2"/>
        <v>84461</v>
      </c>
      <c r="E12" s="43" t="str">
        <f t="shared" si="0"/>
        <v>-</v>
      </c>
      <c r="F12" s="44">
        <f t="shared" si="1"/>
        <v>1</v>
      </c>
    </row>
    <row r="13" spans="1:6" ht="31.5" customHeight="1" x14ac:dyDescent="0.2">
      <c r="A13" s="94" t="s">
        <v>145</v>
      </c>
      <c r="B13" s="89" t="s">
        <v>148</v>
      </c>
      <c r="C13" s="36">
        <v>33223</v>
      </c>
      <c r="D13" s="14">
        <f t="shared" si="2"/>
        <v>33223</v>
      </c>
      <c r="E13" s="43" t="str">
        <f t="shared" si="0"/>
        <v>-</v>
      </c>
      <c r="F13" s="44">
        <f t="shared" si="1"/>
        <v>1</v>
      </c>
    </row>
    <row r="14" spans="1:6" ht="33" customHeight="1" x14ac:dyDescent="0.2">
      <c r="A14" s="93" t="s">
        <v>4</v>
      </c>
      <c r="B14" s="15" t="s">
        <v>125</v>
      </c>
      <c r="C14" s="36">
        <v>162926</v>
      </c>
      <c r="D14" s="14">
        <f t="shared" si="2"/>
        <v>162926</v>
      </c>
      <c r="E14" s="43" t="str">
        <f t="shared" si="0"/>
        <v>-</v>
      </c>
      <c r="F14" s="44">
        <f t="shared" si="1"/>
        <v>1</v>
      </c>
    </row>
    <row r="15" spans="1:6" ht="33" customHeight="1" x14ac:dyDescent="0.2">
      <c r="A15" s="93" t="s">
        <v>5</v>
      </c>
      <c r="B15" s="15" t="s">
        <v>121</v>
      </c>
      <c r="C15" s="36">
        <v>125328</v>
      </c>
      <c r="D15" s="14">
        <f t="shared" si="2"/>
        <v>125328</v>
      </c>
      <c r="E15" s="43" t="str">
        <f t="shared" si="0"/>
        <v>-</v>
      </c>
      <c r="F15" s="44">
        <f t="shared" si="1"/>
        <v>1</v>
      </c>
    </row>
    <row r="16" spans="1:6" ht="33" customHeight="1" x14ac:dyDescent="0.2">
      <c r="A16" s="93" t="s">
        <v>6</v>
      </c>
      <c r="B16" s="15" t="s">
        <v>127</v>
      </c>
      <c r="C16" s="36">
        <v>75482</v>
      </c>
      <c r="D16" s="14">
        <f t="shared" si="2"/>
        <v>75482</v>
      </c>
      <c r="E16" s="43" t="str">
        <f t="shared" si="0"/>
        <v>-</v>
      </c>
      <c r="F16" s="44">
        <f t="shared" si="1"/>
        <v>1</v>
      </c>
    </row>
    <row r="17" spans="1:6" ht="33" customHeight="1" x14ac:dyDescent="0.2">
      <c r="A17" s="93" t="s">
        <v>7</v>
      </c>
      <c r="B17" s="15" t="s">
        <v>126</v>
      </c>
      <c r="C17" s="36">
        <v>28597</v>
      </c>
      <c r="D17" s="14">
        <f t="shared" si="2"/>
        <v>28597</v>
      </c>
      <c r="E17" s="43" t="str">
        <f t="shared" si="0"/>
        <v>-</v>
      </c>
      <c r="F17" s="44">
        <f t="shared" si="1"/>
        <v>1</v>
      </c>
    </row>
    <row r="18" spans="1:6" ht="33" customHeight="1" x14ac:dyDescent="0.2">
      <c r="A18" s="93" t="s">
        <v>8</v>
      </c>
      <c r="B18" s="15" t="s">
        <v>122</v>
      </c>
      <c r="C18" s="36">
        <v>127230</v>
      </c>
      <c r="D18" s="14">
        <f t="shared" si="2"/>
        <v>127230</v>
      </c>
      <c r="E18" s="43" t="str">
        <f t="shared" si="0"/>
        <v>-</v>
      </c>
      <c r="F18" s="44">
        <f t="shared" si="1"/>
        <v>1</v>
      </c>
    </row>
    <row r="19" spans="1:6" ht="33" customHeight="1" x14ac:dyDescent="0.2">
      <c r="A19" s="93" t="s">
        <v>9</v>
      </c>
      <c r="B19" s="15" t="s">
        <v>123</v>
      </c>
      <c r="C19" s="36">
        <v>41712</v>
      </c>
      <c r="D19" s="14">
        <f t="shared" si="2"/>
        <v>41712</v>
      </c>
      <c r="E19" s="43" t="str">
        <f t="shared" si="0"/>
        <v>-</v>
      </c>
      <c r="F19" s="44">
        <f t="shared" si="1"/>
        <v>1</v>
      </c>
    </row>
    <row r="20" spans="1:6" ht="33" customHeight="1" x14ac:dyDescent="0.2">
      <c r="A20" s="93" t="s">
        <v>10</v>
      </c>
      <c r="B20" s="15" t="s">
        <v>128</v>
      </c>
      <c r="C20" s="36">
        <v>3387</v>
      </c>
      <c r="D20" s="14">
        <f t="shared" si="2"/>
        <v>3387</v>
      </c>
      <c r="E20" s="43" t="str">
        <f t="shared" si="0"/>
        <v>-</v>
      </c>
      <c r="F20" s="44">
        <f t="shared" si="1"/>
        <v>1</v>
      </c>
    </row>
    <row r="21" spans="1:6" ht="46.5" customHeight="1" x14ac:dyDescent="0.2">
      <c r="A21" s="93" t="s">
        <v>11</v>
      </c>
      <c r="B21" s="15" t="s">
        <v>124</v>
      </c>
      <c r="C21" s="36">
        <v>10183</v>
      </c>
      <c r="D21" s="14">
        <f t="shared" si="2"/>
        <v>10183</v>
      </c>
      <c r="E21" s="43" t="str">
        <f t="shared" si="0"/>
        <v>-</v>
      </c>
      <c r="F21" s="44">
        <f t="shared" si="1"/>
        <v>1</v>
      </c>
    </row>
    <row r="22" spans="1:6" ht="33" customHeight="1" x14ac:dyDescent="0.2">
      <c r="A22" s="93" t="s">
        <v>12</v>
      </c>
      <c r="B22" s="15" t="s">
        <v>165</v>
      </c>
      <c r="C22" s="36">
        <v>125438</v>
      </c>
      <c r="D22" s="14">
        <f t="shared" si="2"/>
        <v>125438</v>
      </c>
      <c r="E22" s="43" t="str">
        <f t="shared" si="0"/>
        <v>-</v>
      </c>
      <c r="F22" s="44">
        <f t="shared" si="1"/>
        <v>1</v>
      </c>
    </row>
    <row r="23" spans="1:6" ht="33" customHeight="1" x14ac:dyDescent="0.2">
      <c r="A23" s="93" t="s">
        <v>13</v>
      </c>
      <c r="B23" s="15" t="s">
        <v>149</v>
      </c>
      <c r="C23" s="36">
        <v>53613</v>
      </c>
      <c r="D23" s="14">
        <f t="shared" si="2"/>
        <v>53613</v>
      </c>
      <c r="E23" s="43" t="str">
        <f t="shared" si="0"/>
        <v>-</v>
      </c>
      <c r="F23" s="44">
        <f t="shared" si="1"/>
        <v>1</v>
      </c>
    </row>
    <row r="24" spans="1:6" ht="33" customHeight="1" x14ac:dyDescent="0.2">
      <c r="A24" s="95" t="s">
        <v>14</v>
      </c>
      <c r="B24" s="35" t="s">
        <v>222</v>
      </c>
      <c r="C24" s="36">
        <v>462588</v>
      </c>
      <c r="D24" s="36">
        <f>SUM(D25:D27)</f>
        <v>462588</v>
      </c>
      <c r="E24" s="43" t="str">
        <f t="shared" si="0"/>
        <v>-</v>
      </c>
      <c r="F24" s="44">
        <f t="shared" si="1"/>
        <v>1</v>
      </c>
    </row>
    <row r="25" spans="1:6" ht="37.5" x14ac:dyDescent="0.2">
      <c r="A25" s="94" t="s">
        <v>129</v>
      </c>
      <c r="B25" s="89" t="s">
        <v>151</v>
      </c>
      <c r="C25" s="36">
        <v>460088</v>
      </c>
      <c r="D25" s="14">
        <f t="shared" si="2"/>
        <v>460088</v>
      </c>
      <c r="E25" s="43" t="str">
        <f t="shared" si="0"/>
        <v>-</v>
      </c>
      <c r="F25" s="44">
        <f t="shared" si="1"/>
        <v>1</v>
      </c>
    </row>
    <row r="26" spans="1:6" ht="31.5" customHeight="1" x14ac:dyDescent="0.2">
      <c r="A26" s="94" t="s">
        <v>150</v>
      </c>
      <c r="B26" s="89" t="s">
        <v>153</v>
      </c>
      <c r="C26" s="36">
        <v>2200</v>
      </c>
      <c r="D26" s="14">
        <f t="shared" si="2"/>
        <v>2200</v>
      </c>
      <c r="E26" s="43" t="str">
        <f t="shared" si="0"/>
        <v>-</v>
      </c>
      <c r="F26" s="44">
        <f t="shared" si="1"/>
        <v>1</v>
      </c>
    </row>
    <row r="27" spans="1:6" ht="37.5" x14ac:dyDescent="0.2">
      <c r="A27" s="94" t="s">
        <v>154</v>
      </c>
      <c r="B27" s="89" t="s">
        <v>152</v>
      </c>
      <c r="C27" s="36">
        <v>300</v>
      </c>
      <c r="D27" s="14">
        <f t="shared" si="2"/>
        <v>300</v>
      </c>
      <c r="E27" s="43" t="str">
        <f t="shared" si="0"/>
        <v>-</v>
      </c>
      <c r="F27" s="44">
        <f t="shared" si="1"/>
        <v>1</v>
      </c>
    </row>
    <row r="28" spans="1:6" ht="33" customHeight="1" x14ac:dyDescent="0.2">
      <c r="A28" s="96" t="s">
        <v>15</v>
      </c>
      <c r="B28" s="16" t="s">
        <v>113</v>
      </c>
      <c r="C28" s="36">
        <v>0</v>
      </c>
      <c r="D28" s="14">
        <f t="shared" si="2"/>
        <v>0</v>
      </c>
      <c r="E28" s="43" t="str">
        <f t="shared" si="0"/>
        <v>-</v>
      </c>
      <c r="F28" s="44" t="str">
        <f t="shared" si="1"/>
        <v>-</v>
      </c>
    </row>
    <row r="29" spans="1:6" ht="33" customHeight="1" x14ac:dyDescent="0.2">
      <c r="A29" s="96" t="s">
        <v>110</v>
      </c>
      <c r="B29" s="17" t="s">
        <v>155</v>
      </c>
      <c r="C29" s="36">
        <v>0</v>
      </c>
      <c r="D29" s="14">
        <f>C29</f>
        <v>0</v>
      </c>
      <c r="E29" s="43" t="str">
        <f t="shared" si="0"/>
        <v>-</v>
      </c>
      <c r="F29" s="44" t="str">
        <f t="shared" si="1"/>
        <v>-</v>
      </c>
    </row>
    <row r="30" spans="1:6" ht="31.5" customHeight="1" x14ac:dyDescent="0.2">
      <c r="A30" s="94" t="s">
        <v>156</v>
      </c>
      <c r="B30" s="89" t="s">
        <v>167</v>
      </c>
      <c r="C30" s="36">
        <v>0</v>
      </c>
      <c r="D30" s="14">
        <f t="shared" si="2"/>
        <v>0</v>
      </c>
      <c r="E30" s="43" t="str">
        <f t="shared" si="0"/>
        <v>-</v>
      </c>
      <c r="F30" s="44" t="str">
        <f t="shared" si="1"/>
        <v>-</v>
      </c>
    </row>
    <row r="31" spans="1:6" ht="33" customHeight="1" x14ac:dyDescent="0.2">
      <c r="A31" s="96" t="s">
        <v>111</v>
      </c>
      <c r="B31" s="17" t="s">
        <v>114</v>
      </c>
      <c r="C31" s="36">
        <v>0</v>
      </c>
      <c r="D31" s="14">
        <f t="shared" si="2"/>
        <v>0</v>
      </c>
      <c r="E31" s="43" t="str">
        <f t="shared" si="0"/>
        <v>-</v>
      </c>
      <c r="F31" s="44" t="str">
        <f t="shared" si="1"/>
        <v>-</v>
      </c>
    </row>
    <row r="32" spans="1:6" ht="33" customHeight="1" x14ac:dyDescent="0.2">
      <c r="A32" s="96" t="s">
        <v>112</v>
      </c>
      <c r="B32" s="17" t="s">
        <v>166</v>
      </c>
      <c r="C32" s="36">
        <v>15510</v>
      </c>
      <c r="D32" s="14">
        <f t="shared" si="2"/>
        <v>15510</v>
      </c>
      <c r="E32" s="43" t="str">
        <f t="shared" si="0"/>
        <v>-</v>
      </c>
      <c r="F32" s="44">
        <f t="shared" si="1"/>
        <v>1</v>
      </c>
    </row>
    <row r="33" spans="1:6" ht="42.75" customHeight="1" x14ac:dyDescent="0.2">
      <c r="A33" s="96" t="s">
        <v>223</v>
      </c>
      <c r="B33" s="17" t="s">
        <v>224</v>
      </c>
      <c r="C33" s="36">
        <v>0</v>
      </c>
      <c r="D33" s="14">
        <f t="shared" si="2"/>
        <v>0</v>
      </c>
      <c r="E33" s="43" t="str">
        <f>IF(C33=D33,"-",D33-C33)</f>
        <v>-</v>
      </c>
      <c r="F33" s="44" t="str">
        <f>IF(C33=0,"-",D33/C33)</f>
        <v>-</v>
      </c>
    </row>
    <row r="34" spans="1:6" ht="33" customHeight="1" x14ac:dyDescent="0.2">
      <c r="A34" s="96" t="s">
        <v>233</v>
      </c>
      <c r="B34" s="17" t="s">
        <v>234</v>
      </c>
      <c r="C34" s="36">
        <v>1000</v>
      </c>
      <c r="D34" s="14">
        <f t="shared" si="2"/>
        <v>1000</v>
      </c>
      <c r="E34" s="43" t="str">
        <f>IF(C34=D34,"-",D34-C34)</f>
        <v>-</v>
      </c>
      <c r="F34" s="44">
        <f>IF(C34=0,"-",D34/C34)</f>
        <v>1</v>
      </c>
    </row>
    <row r="35" spans="1:6" s="3" customFormat="1" ht="31.5" customHeight="1" x14ac:dyDescent="0.2">
      <c r="A35" s="97" t="s">
        <v>58</v>
      </c>
      <c r="B35" s="18" t="s">
        <v>59</v>
      </c>
      <c r="C35" s="37">
        <v>0</v>
      </c>
      <c r="D35" s="42">
        <f>C35</f>
        <v>0</v>
      </c>
      <c r="E35" s="8" t="str">
        <f t="shared" si="0"/>
        <v>-</v>
      </c>
      <c r="F35" s="45" t="str">
        <f t="shared" si="1"/>
        <v>-</v>
      </c>
    </row>
    <row r="36" spans="1:6" s="3" customFormat="1" ht="31.5" customHeight="1" x14ac:dyDescent="0.2">
      <c r="A36" s="97" t="s">
        <v>57</v>
      </c>
      <c r="B36" s="18" t="s">
        <v>60</v>
      </c>
      <c r="C36" s="37">
        <v>118011</v>
      </c>
      <c r="D36" s="42">
        <f>C36</f>
        <v>118011</v>
      </c>
      <c r="E36" s="8" t="str">
        <f t="shared" si="0"/>
        <v>-</v>
      </c>
      <c r="F36" s="45">
        <f t="shared" si="1"/>
        <v>1</v>
      </c>
    </row>
    <row r="37" spans="1:6" s="3" customFormat="1" ht="40.5" x14ac:dyDescent="0.2">
      <c r="A37" s="97" t="s">
        <v>235</v>
      </c>
      <c r="B37" s="18" t="s">
        <v>236</v>
      </c>
      <c r="C37" s="37">
        <v>33882</v>
      </c>
      <c r="D37" s="42">
        <f>C37</f>
        <v>33882</v>
      </c>
      <c r="E37" s="8" t="str">
        <f t="shared" si="0"/>
        <v>-</v>
      </c>
      <c r="F37" s="45">
        <f t="shared" si="1"/>
        <v>1</v>
      </c>
    </row>
    <row r="38" spans="1:6" s="3" customFormat="1" ht="42.75" customHeight="1" x14ac:dyDescent="0.2">
      <c r="A38" s="97" t="s">
        <v>157</v>
      </c>
      <c r="B38" s="18" t="s">
        <v>158</v>
      </c>
      <c r="C38" s="37">
        <f>C11+C13+C24+C30</f>
        <v>647081</v>
      </c>
      <c r="D38" s="37">
        <f>D11+D13+D24+D30</f>
        <v>647081</v>
      </c>
      <c r="E38" s="8" t="str">
        <f t="shared" si="0"/>
        <v>-</v>
      </c>
      <c r="F38" s="45">
        <f t="shared" si="1"/>
        <v>1</v>
      </c>
    </row>
    <row r="39" spans="1:6" ht="30" customHeight="1" x14ac:dyDescent="0.2">
      <c r="A39" s="151" t="s">
        <v>16</v>
      </c>
      <c r="B39" s="152" t="s">
        <v>228</v>
      </c>
      <c r="C39" s="135">
        <f>C40+C41+C42+C50+C52+C58+C59+C57</f>
        <v>25583</v>
      </c>
      <c r="D39" s="135">
        <f>D40+D41+D42+D50+D52+D58+D59+D57</f>
        <v>25583</v>
      </c>
      <c r="E39" s="131" t="str">
        <f t="shared" si="0"/>
        <v>-</v>
      </c>
      <c r="F39" s="153">
        <f t="shared" si="1"/>
        <v>1</v>
      </c>
    </row>
    <row r="40" spans="1:6" ht="28.5" customHeight="1" x14ac:dyDescent="0.2">
      <c r="A40" s="96" t="s">
        <v>17</v>
      </c>
      <c r="B40" s="20" t="s">
        <v>18</v>
      </c>
      <c r="C40" s="36">
        <v>873</v>
      </c>
      <c r="D40" s="38">
        <f>C40</f>
        <v>873</v>
      </c>
      <c r="E40" s="43" t="str">
        <f t="shared" si="0"/>
        <v>-</v>
      </c>
      <c r="F40" s="44">
        <f t="shared" si="1"/>
        <v>1</v>
      </c>
    </row>
    <row r="41" spans="1:6" ht="28.5" customHeight="1" x14ac:dyDescent="0.2">
      <c r="A41" s="96" t="s">
        <v>19</v>
      </c>
      <c r="B41" s="20" t="s">
        <v>20</v>
      </c>
      <c r="C41" s="36">
        <v>2803</v>
      </c>
      <c r="D41" s="38">
        <f t="shared" ref="D41:D59" si="3">C41</f>
        <v>2803</v>
      </c>
      <c r="E41" s="43" t="str">
        <f t="shared" si="0"/>
        <v>-</v>
      </c>
      <c r="F41" s="44">
        <f t="shared" si="1"/>
        <v>1</v>
      </c>
    </row>
    <row r="42" spans="1:6" ht="28.5" customHeight="1" x14ac:dyDescent="0.2">
      <c r="A42" s="96" t="s">
        <v>21</v>
      </c>
      <c r="B42" s="21" t="s">
        <v>229</v>
      </c>
      <c r="C42" s="38">
        <f>C43+C45+C46+C47+C48+C49</f>
        <v>265</v>
      </c>
      <c r="D42" s="38">
        <f>D43+D45+D46+D47+D48+D49</f>
        <v>265</v>
      </c>
      <c r="E42" s="43" t="str">
        <f t="shared" si="0"/>
        <v>-</v>
      </c>
      <c r="F42" s="44">
        <f t="shared" si="1"/>
        <v>1</v>
      </c>
    </row>
    <row r="43" spans="1:6" ht="28.5" customHeight="1" x14ac:dyDescent="0.2">
      <c r="A43" s="99" t="s">
        <v>39</v>
      </c>
      <c r="B43" s="90" t="s">
        <v>32</v>
      </c>
      <c r="C43" s="36">
        <v>31</v>
      </c>
      <c r="D43" s="38">
        <f t="shared" si="3"/>
        <v>31</v>
      </c>
      <c r="E43" s="43" t="str">
        <f t="shared" si="0"/>
        <v>-</v>
      </c>
      <c r="F43" s="44">
        <f t="shared" si="1"/>
        <v>1</v>
      </c>
    </row>
    <row r="44" spans="1:6" ht="28.5" customHeight="1" x14ac:dyDescent="0.2">
      <c r="A44" s="99" t="s">
        <v>40</v>
      </c>
      <c r="B44" s="91" t="s">
        <v>33</v>
      </c>
      <c r="C44" s="36">
        <v>31</v>
      </c>
      <c r="D44" s="38">
        <f t="shared" si="3"/>
        <v>31</v>
      </c>
      <c r="E44" s="43" t="str">
        <f t="shared" si="0"/>
        <v>-</v>
      </c>
      <c r="F44" s="44">
        <f t="shared" si="1"/>
        <v>1</v>
      </c>
    </row>
    <row r="45" spans="1:6" ht="28.5" customHeight="1" x14ac:dyDescent="0.2">
      <c r="A45" s="99" t="s">
        <v>41</v>
      </c>
      <c r="B45" s="90" t="s">
        <v>34</v>
      </c>
      <c r="C45" s="36">
        <v>0</v>
      </c>
      <c r="D45" s="38">
        <f t="shared" si="3"/>
        <v>0</v>
      </c>
      <c r="E45" s="43" t="str">
        <f t="shared" si="0"/>
        <v>-</v>
      </c>
      <c r="F45" s="44" t="str">
        <f t="shared" si="1"/>
        <v>-</v>
      </c>
    </row>
    <row r="46" spans="1:6" ht="28.5" customHeight="1" x14ac:dyDescent="0.2">
      <c r="A46" s="99" t="s">
        <v>42</v>
      </c>
      <c r="B46" s="90" t="s">
        <v>35</v>
      </c>
      <c r="C46" s="36">
        <v>0</v>
      </c>
      <c r="D46" s="38">
        <f t="shared" si="3"/>
        <v>0</v>
      </c>
      <c r="E46" s="43" t="str">
        <f t="shared" si="0"/>
        <v>-</v>
      </c>
      <c r="F46" s="44" t="str">
        <f t="shared" si="1"/>
        <v>-</v>
      </c>
    </row>
    <row r="47" spans="1:6" ht="28.5" customHeight="1" x14ac:dyDescent="0.2">
      <c r="A47" s="99" t="s">
        <v>43</v>
      </c>
      <c r="B47" s="90" t="s">
        <v>36</v>
      </c>
      <c r="C47" s="36">
        <v>0</v>
      </c>
      <c r="D47" s="38">
        <f t="shared" si="3"/>
        <v>0</v>
      </c>
      <c r="E47" s="43" t="str">
        <f t="shared" si="0"/>
        <v>-</v>
      </c>
      <c r="F47" s="44" t="str">
        <f t="shared" si="1"/>
        <v>-</v>
      </c>
    </row>
    <row r="48" spans="1:6" ht="28.5" customHeight="1" x14ac:dyDescent="0.2">
      <c r="A48" s="99" t="s">
        <v>44</v>
      </c>
      <c r="B48" s="90" t="s">
        <v>37</v>
      </c>
      <c r="C48" s="36">
        <v>220</v>
      </c>
      <c r="D48" s="38">
        <f t="shared" si="3"/>
        <v>220</v>
      </c>
      <c r="E48" s="43" t="str">
        <f t="shared" si="0"/>
        <v>-</v>
      </c>
      <c r="F48" s="44">
        <f t="shared" si="1"/>
        <v>1</v>
      </c>
    </row>
    <row r="49" spans="1:6" ht="28.5" customHeight="1" x14ac:dyDescent="0.2">
      <c r="A49" s="99" t="s">
        <v>45</v>
      </c>
      <c r="B49" s="90" t="s">
        <v>38</v>
      </c>
      <c r="C49" s="36">
        <v>14</v>
      </c>
      <c r="D49" s="38">
        <f t="shared" si="3"/>
        <v>14</v>
      </c>
      <c r="E49" s="43" t="str">
        <f t="shared" si="0"/>
        <v>-</v>
      </c>
      <c r="F49" s="44">
        <f t="shared" si="1"/>
        <v>1</v>
      </c>
    </row>
    <row r="50" spans="1:6" ht="28.5" customHeight="1" x14ac:dyDescent="0.2">
      <c r="A50" s="96" t="s">
        <v>22</v>
      </c>
      <c r="B50" s="20" t="s">
        <v>159</v>
      </c>
      <c r="C50" s="36">
        <v>16033</v>
      </c>
      <c r="D50" s="38">
        <f t="shared" si="3"/>
        <v>16033</v>
      </c>
      <c r="E50" s="43" t="str">
        <f t="shared" si="0"/>
        <v>-</v>
      </c>
      <c r="F50" s="44">
        <f t="shared" si="1"/>
        <v>1</v>
      </c>
    </row>
    <row r="51" spans="1:6" ht="28.5" customHeight="1" x14ac:dyDescent="0.2">
      <c r="A51" s="99" t="s">
        <v>160</v>
      </c>
      <c r="B51" s="90" t="s">
        <v>161</v>
      </c>
      <c r="C51" s="36">
        <v>144</v>
      </c>
      <c r="D51" s="38">
        <f t="shared" si="3"/>
        <v>144</v>
      </c>
      <c r="E51" s="43" t="str">
        <f t="shared" si="0"/>
        <v>-</v>
      </c>
      <c r="F51" s="44">
        <f t="shared" si="1"/>
        <v>1</v>
      </c>
    </row>
    <row r="52" spans="1:6" ht="28.5" customHeight="1" x14ac:dyDescent="0.2">
      <c r="A52" s="96" t="s">
        <v>23</v>
      </c>
      <c r="B52" s="21" t="s">
        <v>227</v>
      </c>
      <c r="C52" s="34">
        <f>C53+C54+C55+C56</f>
        <v>3604</v>
      </c>
      <c r="D52" s="34">
        <f>D53+D54+D55+D56</f>
        <v>3604</v>
      </c>
      <c r="E52" s="43" t="str">
        <f t="shared" si="0"/>
        <v>-</v>
      </c>
      <c r="F52" s="44">
        <f t="shared" si="1"/>
        <v>1</v>
      </c>
    </row>
    <row r="53" spans="1:6" ht="28.5" customHeight="1" x14ac:dyDescent="0.2">
      <c r="A53" s="99" t="s">
        <v>50</v>
      </c>
      <c r="B53" s="90" t="s">
        <v>46</v>
      </c>
      <c r="C53" s="36">
        <v>2753</v>
      </c>
      <c r="D53" s="38">
        <f t="shared" si="3"/>
        <v>2753</v>
      </c>
      <c r="E53" s="43" t="str">
        <f t="shared" si="0"/>
        <v>-</v>
      </c>
      <c r="F53" s="44">
        <f t="shared" si="1"/>
        <v>1</v>
      </c>
    </row>
    <row r="54" spans="1:6" ht="28.5" customHeight="1" x14ac:dyDescent="0.2">
      <c r="A54" s="99" t="s">
        <v>51</v>
      </c>
      <c r="B54" s="90" t="s">
        <v>47</v>
      </c>
      <c r="C54" s="36">
        <v>393</v>
      </c>
      <c r="D54" s="38">
        <f t="shared" si="3"/>
        <v>393</v>
      </c>
      <c r="E54" s="43" t="str">
        <f t="shared" si="0"/>
        <v>-</v>
      </c>
      <c r="F54" s="44">
        <f t="shared" si="1"/>
        <v>1</v>
      </c>
    </row>
    <row r="55" spans="1:6" ht="28.5" customHeight="1" x14ac:dyDescent="0.2">
      <c r="A55" s="99" t="s">
        <v>52</v>
      </c>
      <c r="B55" s="90" t="s">
        <v>48</v>
      </c>
      <c r="C55" s="36">
        <v>0</v>
      </c>
      <c r="D55" s="38">
        <f t="shared" si="3"/>
        <v>0</v>
      </c>
      <c r="E55" s="43" t="str">
        <f t="shared" si="0"/>
        <v>-</v>
      </c>
      <c r="F55" s="44" t="str">
        <f t="shared" si="1"/>
        <v>-</v>
      </c>
    </row>
    <row r="56" spans="1:6" ht="28.5" customHeight="1" x14ac:dyDescent="0.2">
      <c r="A56" s="99" t="s">
        <v>53</v>
      </c>
      <c r="B56" s="90" t="s">
        <v>49</v>
      </c>
      <c r="C56" s="36">
        <v>458</v>
      </c>
      <c r="D56" s="38">
        <f t="shared" si="3"/>
        <v>458</v>
      </c>
      <c r="E56" s="43" t="str">
        <f t="shared" si="0"/>
        <v>-</v>
      </c>
      <c r="F56" s="44">
        <f t="shared" si="1"/>
        <v>1</v>
      </c>
    </row>
    <row r="57" spans="1:6" ht="28.5" customHeight="1" x14ac:dyDescent="0.2">
      <c r="A57" s="96" t="s">
        <v>24</v>
      </c>
      <c r="B57" s="20" t="s">
        <v>25</v>
      </c>
      <c r="C57" s="36">
        <v>0</v>
      </c>
      <c r="D57" s="38">
        <f t="shared" si="3"/>
        <v>0</v>
      </c>
      <c r="E57" s="43" t="str">
        <f t="shared" si="0"/>
        <v>-</v>
      </c>
      <c r="F57" s="44" t="str">
        <f t="shared" si="1"/>
        <v>-</v>
      </c>
    </row>
    <row r="58" spans="1:6" ht="28.5" customHeight="1" x14ac:dyDescent="0.2">
      <c r="A58" s="96" t="s">
        <v>26</v>
      </c>
      <c r="B58" s="20" t="s">
        <v>162</v>
      </c>
      <c r="C58" s="36">
        <v>1630</v>
      </c>
      <c r="D58" s="38">
        <f t="shared" si="3"/>
        <v>1630</v>
      </c>
      <c r="E58" s="43" t="str">
        <f t="shared" si="0"/>
        <v>-</v>
      </c>
      <c r="F58" s="46">
        <f t="shared" si="1"/>
        <v>1</v>
      </c>
    </row>
    <row r="59" spans="1:6" ht="28.5" customHeight="1" x14ac:dyDescent="0.2">
      <c r="A59" s="96" t="s">
        <v>27</v>
      </c>
      <c r="B59" s="20" t="s">
        <v>28</v>
      </c>
      <c r="C59" s="36">
        <v>375</v>
      </c>
      <c r="D59" s="38">
        <f t="shared" si="3"/>
        <v>375</v>
      </c>
      <c r="E59" s="43" t="str">
        <f t="shared" si="0"/>
        <v>-</v>
      </c>
      <c r="F59" s="44">
        <f t="shared" si="1"/>
        <v>1</v>
      </c>
    </row>
    <row r="60" spans="1:6" ht="30" customHeight="1" x14ac:dyDescent="0.2">
      <c r="A60" s="142" t="s">
        <v>135</v>
      </c>
      <c r="B60" s="143" t="s">
        <v>163</v>
      </c>
      <c r="C60" s="154">
        <f>C61+C62+C63+C64</f>
        <v>41705</v>
      </c>
      <c r="D60" s="154">
        <f>D61+D62+D63+D64</f>
        <v>41705</v>
      </c>
      <c r="E60" s="131" t="str">
        <f t="shared" si="0"/>
        <v>-</v>
      </c>
      <c r="F60" s="155">
        <f t="shared" si="1"/>
        <v>1</v>
      </c>
    </row>
    <row r="61" spans="1:6" ht="42" customHeight="1" x14ac:dyDescent="0.2">
      <c r="A61" s="96" t="s">
        <v>101</v>
      </c>
      <c r="B61" s="20" t="s">
        <v>115</v>
      </c>
      <c r="C61" s="36">
        <v>5</v>
      </c>
      <c r="D61" s="38">
        <f>C61</f>
        <v>5</v>
      </c>
      <c r="E61" s="34" t="str">
        <f t="shared" si="0"/>
        <v>-</v>
      </c>
      <c r="F61" s="44">
        <f t="shared" si="1"/>
        <v>1</v>
      </c>
    </row>
    <row r="62" spans="1:6" ht="31.5" customHeight="1" x14ac:dyDescent="0.2">
      <c r="A62" s="96" t="s">
        <v>30</v>
      </c>
      <c r="B62" s="20" t="s">
        <v>55</v>
      </c>
      <c r="C62" s="36">
        <v>40500</v>
      </c>
      <c r="D62" s="38">
        <f>C62</f>
        <v>40500</v>
      </c>
      <c r="E62" s="34" t="str">
        <f t="shared" si="0"/>
        <v>-</v>
      </c>
      <c r="F62" s="44">
        <f t="shared" si="1"/>
        <v>1</v>
      </c>
    </row>
    <row r="63" spans="1:6" ht="31.5" customHeight="1" x14ac:dyDescent="0.2">
      <c r="A63" s="96" t="s">
        <v>31</v>
      </c>
      <c r="B63" s="20" t="s">
        <v>103</v>
      </c>
      <c r="C63" s="36">
        <v>0</v>
      </c>
      <c r="D63" s="38">
        <f>C63</f>
        <v>0</v>
      </c>
      <c r="E63" s="34" t="str">
        <f t="shared" si="0"/>
        <v>-</v>
      </c>
      <c r="F63" s="44" t="str">
        <f t="shared" si="1"/>
        <v>-</v>
      </c>
    </row>
    <row r="64" spans="1:6" ht="31.5" customHeight="1" x14ac:dyDescent="0.2">
      <c r="A64" s="96" t="s">
        <v>102</v>
      </c>
      <c r="B64" s="20" t="s">
        <v>104</v>
      </c>
      <c r="C64" s="36">
        <v>1200</v>
      </c>
      <c r="D64" s="38">
        <f>C64</f>
        <v>1200</v>
      </c>
      <c r="E64" s="34" t="str">
        <f t="shared" si="0"/>
        <v>-</v>
      </c>
      <c r="F64" s="44">
        <f t="shared" si="1"/>
        <v>1</v>
      </c>
    </row>
    <row r="65" spans="1:6" ht="32.25" customHeight="1" x14ac:dyDescent="0.2">
      <c r="A65" s="142" t="s">
        <v>137</v>
      </c>
      <c r="B65" s="143" t="s">
        <v>116</v>
      </c>
      <c r="C65" s="154">
        <v>5000</v>
      </c>
      <c r="D65" s="154">
        <f>C65</f>
        <v>5000</v>
      </c>
      <c r="E65" s="131" t="str">
        <f t="shared" si="0"/>
        <v>-</v>
      </c>
      <c r="F65" s="155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5.7109375" style="2" customWidth="1"/>
    <col min="4" max="4" width="26.85546875" style="2" customWidth="1"/>
    <col min="5" max="5" width="25.140625" style="2" customWidth="1"/>
    <col min="6" max="6" width="23" style="2" customWidth="1"/>
    <col min="7" max="16384" width="9.140625" style="2"/>
  </cols>
  <sheetData>
    <row r="1" spans="1:6" s="24" customFormat="1" ht="46.5" customHeight="1" x14ac:dyDescent="0.2">
      <c r="A1" s="160" t="str">
        <f>NFZ!A1</f>
        <v>ZMIANA PLANU FINANSOWEGO NARODOWEGO FUNDUSZU ZDROWIA NA 2017 ROK Z DNIA 18 LIPCA 2017 R.</v>
      </c>
      <c r="B1" s="160"/>
      <c r="C1" s="160"/>
      <c r="D1" s="160"/>
      <c r="E1" s="160"/>
      <c r="F1" s="160"/>
    </row>
    <row r="2" spans="1:6" s="26" customFormat="1" ht="33" customHeight="1" x14ac:dyDescent="0.2">
      <c r="A2" s="115" t="s">
        <v>64</v>
      </c>
      <c r="B2" s="115"/>
      <c r="C2" s="116"/>
    </row>
    <row r="3" spans="1:6" ht="33" customHeight="1" x14ac:dyDescent="0.25">
      <c r="A3" s="5"/>
      <c r="B3" s="6"/>
      <c r="C3" s="40"/>
      <c r="D3" s="40"/>
      <c r="E3" s="40" t="s">
        <v>141</v>
      </c>
      <c r="F3" s="7"/>
    </row>
    <row r="4" spans="1:6" s="117" customFormat="1" ht="65.099999999999994" customHeight="1" x14ac:dyDescent="0.2">
      <c r="A4" s="124" t="s">
        <v>118</v>
      </c>
      <c r="B4" s="124" t="s">
        <v>54</v>
      </c>
      <c r="C4" s="125" t="s">
        <v>230</v>
      </c>
      <c r="D4" s="125" t="s">
        <v>171</v>
      </c>
      <c r="E4" s="126" t="s">
        <v>172</v>
      </c>
      <c r="F4" s="126" t="s">
        <v>173</v>
      </c>
    </row>
    <row r="5" spans="1:6" s="118" customFormat="1" ht="14.25" x14ac:dyDescent="0.2">
      <c r="A5" s="127">
        <v>1</v>
      </c>
      <c r="B5" s="128">
        <v>2</v>
      </c>
      <c r="C5" s="127">
        <v>3</v>
      </c>
      <c r="D5" s="128">
        <v>4</v>
      </c>
      <c r="E5" s="127">
        <v>5</v>
      </c>
      <c r="F5" s="128">
        <v>6</v>
      </c>
    </row>
    <row r="6" spans="1:6" ht="30" customHeight="1" x14ac:dyDescent="0.2">
      <c r="A6" s="101" t="s">
        <v>0</v>
      </c>
      <c r="B6" s="73" t="s">
        <v>232</v>
      </c>
      <c r="C6" s="150">
        <f>C7+C8+C9+C14+C15+C16+C17+C18+C19+C20+C21+C22+C23+C24+C28+C29+C31+C32+C33+C34</f>
        <v>1846223</v>
      </c>
      <c r="D6" s="150">
        <f>D7+D8+D9+D14+D15+D16+D17+D18+D19+D20+D21+D22+D23+D24+D28+D29+D31+D32+D33+D34</f>
        <v>1883118</v>
      </c>
      <c r="E6" s="131">
        <f>IF(C6=D6,"-",D6-C6)</f>
        <v>36895</v>
      </c>
      <c r="F6" s="148">
        <f>IF(C6=0,"-",D6/C6)</f>
        <v>1.02</v>
      </c>
    </row>
    <row r="7" spans="1:6" ht="33" customHeight="1" x14ac:dyDescent="0.2">
      <c r="A7" s="93" t="s">
        <v>1</v>
      </c>
      <c r="B7" s="15" t="s">
        <v>119</v>
      </c>
      <c r="C7" s="36">
        <v>259273</v>
      </c>
      <c r="D7" s="14">
        <f>C7+1000</f>
        <v>260273</v>
      </c>
      <c r="E7" s="43">
        <f t="shared" ref="E7:E65" si="0">IF(C7=D7,"-",D7-C7)</f>
        <v>1000</v>
      </c>
      <c r="F7" s="44">
        <f t="shared" ref="F7:F65" si="1">IF(C7=0,"-",D7/C7)</f>
        <v>1.0039</v>
      </c>
    </row>
    <row r="8" spans="1:6" ht="33" customHeight="1" x14ac:dyDescent="0.2">
      <c r="A8" s="93" t="s">
        <v>2</v>
      </c>
      <c r="B8" s="15" t="s">
        <v>120</v>
      </c>
      <c r="C8" s="36">
        <v>147051</v>
      </c>
      <c r="D8" s="14">
        <f>C8</f>
        <v>147051</v>
      </c>
      <c r="E8" s="43" t="str">
        <f t="shared" si="0"/>
        <v>-</v>
      </c>
      <c r="F8" s="44">
        <f t="shared" si="1"/>
        <v>1</v>
      </c>
    </row>
    <row r="9" spans="1:6" ht="33" customHeight="1" x14ac:dyDescent="0.2">
      <c r="A9" s="93" t="s">
        <v>3</v>
      </c>
      <c r="B9" s="15" t="s">
        <v>117</v>
      </c>
      <c r="C9" s="36">
        <v>882707</v>
      </c>
      <c r="D9" s="14">
        <f>C9+33895</f>
        <v>916602</v>
      </c>
      <c r="E9" s="43">
        <f t="shared" si="0"/>
        <v>33895</v>
      </c>
      <c r="F9" s="44">
        <f t="shared" si="1"/>
        <v>1.0384</v>
      </c>
    </row>
    <row r="10" spans="1:6" ht="31.5" customHeight="1" x14ac:dyDescent="0.2">
      <c r="A10" s="94" t="s">
        <v>56</v>
      </c>
      <c r="B10" s="89" t="s">
        <v>142</v>
      </c>
      <c r="C10" s="36">
        <v>86838</v>
      </c>
      <c r="D10" s="14">
        <f t="shared" ref="D10:D34" si="2">C10</f>
        <v>86838</v>
      </c>
      <c r="E10" s="43" t="str">
        <f t="shared" si="0"/>
        <v>-</v>
      </c>
      <c r="F10" s="44">
        <f t="shared" si="1"/>
        <v>1</v>
      </c>
    </row>
    <row r="11" spans="1:6" ht="31.5" customHeight="1" x14ac:dyDescent="0.2">
      <c r="A11" s="94" t="s">
        <v>143</v>
      </c>
      <c r="B11" s="89" t="s">
        <v>146</v>
      </c>
      <c r="C11" s="36">
        <v>80231</v>
      </c>
      <c r="D11" s="14">
        <f t="shared" si="2"/>
        <v>80231</v>
      </c>
      <c r="E11" s="43" t="str">
        <f t="shared" si="0"/>
        <v>-</v>
      </c>
      <c r="F11" s="44">
        <f t="shared" si="1"/>
        <v>1</v>
      </c>
    </row>
    <row r="12" spans="1:6" ht="31.5" customHeight="1" x14ac:dyDescent="0.2">
      <c r="A12" s="94" t="s">
        <v>144</v>
      </c>
      <c r="B12" s="89" t="s">
        <v>147</v>
      </c>
      <c r="C12" s="36">
        <v>39566</v>
      </c>
      <c r="D12" s="14">
        <f t="shared" si="2"/>
        <v>39566</v>
      </c>
      <c r="E12" s="43" t="str">
        <f t="shared" si="0"/>
        <v>-</v>
      </c>
      <c r="F12" s="44">
        <f t="shared" si="1"/>
        <v>1</v>
      </c>
    </row>
    <row r="13" spans="1:6" ht="31.5" customHeight="1" x14ac:dyDescent="0.2">
      <c r="A13" s="94" t="s">
        <v>145</v>
      </c>
      <c r="B13" s="89" t="s">
        <v>148</v>
      </c>
      <c r="C13" s="36">
        <v>15501</v>
      </c>
      <c r="D13" s="14">
        <f t="shared" si="2"/>
        <v>15501</v>
      </c>
      <c r="E13" s="43" t="str">
        <f t="shared" si="0"/>
        <v>-</v>
      </c>
      <c r="F13" s="44">
        <f t="shared" si="1"/>
        <v>1</v>
      </c>
    </row>
    <row r="14" spans="1:6" ht="33" customHeight="1" x14ac:dyDescent="0.2">
      <c r="A14" s="93" t="s">
        <v>4</v>
      </c>
      <c r="B14" s="15" t="s">
        <v>125</v>
      </c>
      <c r="C14" s="36">
        <v>105600</v>
      </c>
      <c r="D14" s="14">
        <f t="shared" si="2"/>
        <v>105600</v>
      </c>
      <c r="E14" s="43" t="str">
        <f t="shared" si="0"/>
        <v>-</v>
      </c>
      <c r="F14" s="44">
        <f t="shared" si="1"/>
        <v>1</v>
      </c>
    </row>
    <row r="15" spans="1:6" ht="33" customHeight="1" x14ac:dyDescent="0.2">
      <c r="A15" s="93" t="s">
        <v>5</v>
      </c>
      <c r="B15" s="15" t="s">
        <v>121</v>
      </c>
      <c r="C15" s="36">
        <v>53567</v>
      </c>
      <c r="D15" s="14">
        <f>C15+1000</f>
        <v>54567</v>
      </c>
      <c r="E15" s="43">
        <f t="shared" si="0"/>
        <v>1000</v>
      </c>
      <c r="F15" s="44">
        <f t="shared" si="1"/>
        <v>1.0186999999999999</v>
      </c>
    </row>
    <row r="16" spans="1:6" ht="33" customHeight="1" x14ac:dyDescent="0.2">
      <c r="A16" s="93" t="s">
        <v>6</v>
      </c>
      <c r="B16" s="15" t="s">
        <v>127</v>
      </c>
      <c r="C16" s="36">
        <v>27814</v>
      </c>
      <c r="D16" s="14">
        <f t="shared" si="2"/>
        <v>27814</v>
      </c>
      <c r="E16" s="43" t="str">
        <f t="shared" si="0"/>
        <v>-</v>
      </c>
      <c r="F16" s="44">
        <f t="shared" si="1"/>
        <v>1</v>
      </c>
    </row>
    <row r="17" spans="1:6" ht="33" customHeight="1" x14ac:dyDescent="0.2">
      <c r="A17" s="93" t="s">
        <v>7</v>
      </c>
      <c r="B17" s="15" t="s">
        <v>126</v>
      </c>
      <c r="C17" s="36">
        <v>17918</v>
      </c>
      <c r="D17" s="14">
        <f t="shared" si="2"/>
        <v>17918</v>
      </c>
      <c r="E17" s="43" t="str">
        <f t="shared" si="0"/>
        <v>-</v>
      </c>
      <c r="F17" s="44">
        <f t="shared" si="1"/>
        <v>1</v>
      </c>
    </row>
    <row r="18" spans="1:6" ht="33" customHeight="1" x14ac:dyDescent="0.2">
      <c r="A18" s="93" t="s">
        <v>8</v>
      </c>
      <c r="B18" s="15" t="s">
        <v>122</v>
      </c>
      <c r="C18" s="36">
        <v>42702</v>
      </c>
      <c r="D18" s="14">
        <f t="shared" si="2"/>
        <v>42702</v>
      </c>
      <c r="E18" s="43" t="str">
        <f t="shared" si="0"/>
        <v>-</v>
      </c>
      <c r="F18" s="44">
        <f t="shared" si="1"/>
        <v>1</v>
      </c>
    </row>
    <row r="19" spans="1:6" ht="33" customHeight="1" x14ac:dyDescent="0.2">
      <c r="A19" s="93" t="s">
        <v>9</v>
      </c>
      <c r="B19" s="15" t="s">
        <v>123</v>
      </c>
      <c r="C19" s="36">
        <v>14300</v>
      </c>
      <c r="D19" s="14">
        <f t="shared" si="2"/>
        <v>14300</v>
      </c>
      <c r="E19" s="43" t="str">
        <f t="shared" si="0"/>
        <v>-</v>
      </c>
      <c r="F19" s="44">
        <f t="shared" si="1"/>
        <v>1</v>
      </c>
    </row>
    <row r="20" spans="1:6" ht="33" customHeight="1" x14ac:dyDescent="0.2">
      <c r="A20" s="93" t="s">
        <v>10</v>
      </c>
      <c r="B20" s="15" t="s">
        <v>128</v>
      </c>
      <c r="C20" s="36">
        <v>1655</v>
      </c>
      <c r="D20" s="14">
        <f t="shared" si="2"/>
        <v>1655</v>
      </c>
      <c r="E20" s="43" t="str">
        <f t="shared" si="0"/>
        <v>-</v>
      </c>
      <c r="F20" s="44">
        <f t="shared" si="1"/>
        <v>1</v>
      </c>
    </row>
    <row r="21" spans="1:6" ht="46.5" customHeight="1" x14ac:dyDescent="0.2">
      <c r="A21" s="93" t="s">
        <v>11</v>
      </c>
      <c r="B21" s="15" t="s">
        <v>124</v>
      </c>
      <c r="C21" s="36">
        <v>5429</v>
      </c>
      <c r="D21" s="14">
        <f t="shared" si="2"/>
        <v>5429</v>
      </c>
      <c r="E21" s="43" t="str">
        <f t="shared" si="0"/>
        <v>-</v>
      </c>
      <c r="F21" s="44">
        <f t="shared" si="1"/>
        <v>1</v>
      </c>
    </row>
    <row r="22" spans="1:6" ht="33" customHeight="1" x14ac:dyDescent="0.2">
      <c r="A22" s="93" t="s">
        <v>12</v>
      </c>
      <c r="B22" s="15" t="s">
        <v>165</v>
      </c>
      <c r="C22" s="36">
        <v>49869</v>
      </c>
      <c r="D22" s="14">
        <f>C22+1000</f>
        <v>50869</v>
      </c>
      <c r="E22" s="43">
        <f t="shared" si="0"/>
        <v>1000</v>
      </c>
      <c r="F22" s="44">
        <f t="shared" si="1"/>
        <v>1.0201</v>
      </c>
    </row>
    <row r="23" spans="1:6" ht="33" customHeight="1" x14ac:dyDescent="0.2">
      <c r="A23" s="93" t="s">
        <v>13</v>
      </c>
      <c r="B23" s="15" t="s">
        <v>149</v>
      </c>
      <c r="C23" s="36">
        <v>27300</v>
      </c>
      <c r="D23" s="14">
        <f t="shared" si="2"/>
        <v>27300</v>
      </c>
      <c r="E23" s="43" t="str">
        <f t="shared" si="0"/>
        <v>-</v>
      </c>
      <c r="F23" s="44">
        <f t="shared" si="1"/>
        <v>1</v>
      </c>
    </row>
    <row r="24" spans="1:6" ht="33" customHeight="1" x14ac:dyDescent="0.2">
      <c r="A24" s="95" t="s">
        <v>14</v>
      </c>
      <c r="B24" s="35" t="s">
        <v>222</v>
      </c>
      <c r="C24" s="36">
        <v>201000</v>
      </c>
      <c r="D24" s="36">
        <f>SUM(D25:D27)</f>
        <v>201000</v>
      </c>
      <c r="E24" s="43" t="str">
        <f t="shared" si="0"/>
        <v>-</v>
      </c>
      <c r="F24" s="44">
        <f t="shared" si="1"/>
        <v>1</v>
      </c>
    </row>
    <row r="25" spans="1:6" ht="37.5" x14ac:dyDescent="0.2">
      <c r="A25" s="94" t="s">
        <v>129</v>
      </c>
      <c r="B25" s="89" t="s">
        <v>151</v>
      </c>
      <c r="C25" s="36">
        <v>200500</v>
      </c>
      <c r="D25" s="14">
        <f t="shared" si="2"/>
        <v>200500</v>
      </c>
      <c r="E25" s="43" t="str">
        <f t="shared" si="0"/>
        <v>-</v>
      </c>
      <c r="F25" s="44">
        <f t="shared" si="1"/>
        <v>1</v>
      </c>
    </row>
    <row r="26" spans="1:6" ht="31.5" customHeight="1" x14ac:dyDescent="0.2">
      <c r="A26" s="94" t="s">
        <v>150</v>
      </c>
      <c r="B26" s="89" t="s">
        <v>153</v>
      </c>
      <c r="C26" s="36">
        <v>300</v>
      </c>
      <c r="D26" s="14">
        <f t="shared" si="2"/>
        <v>300</v>
      </c>
      <c r="E26" s="43" t="str">
        <f t="shared" si="0"/>
        <v>-</v>
      </c>
      <c r="F26" s="44">
        <f t="shared" si="1"/>
        <v>1</v>
      </c>
    </row>
    <row r="27" spans="1:6" ht="37.5" x14ac:dyDescent="0.2">
      <c r="A27" s="94" t="s">
        <v>154</v>
      </c>
      <c r="B27" s="89" t="s">
        <v>152</v>
      </c>
      <c r="C27" s="36">
        <v>200</v>
      </c>
      <c r="D27" s="14">
        <f t="shared" si="2"/>
        <v>200</v>
      </c>
      <c r="E27" s="43" t="str">
        <f t="shared" si="0"/>
        <v>-</v>
      </c>
      <c r="F27" s="44">
        <f t="shared" si="1"/>
        <v>1</v>
      </c>
    </row>
    <row r="28" spans="1:6" ht="33" customHeight="1" x14ac:dyDescent="0.2">
      <c r="A28" s="96" t="s">
        <v>15</v>
      </c>
      <c r="B28" s="16" t="s">
        <v>113</v>
      </c>
      <c r="C28" s="36">
        <v>0</v>
      </c>
      <c r="D28" s="14">
        <f t="shared" si="2"/>
        <v>0</v>
      </c>
      <c r="E28" s="43" t="str">
        <f t="shared" si="0"/>
        <v>-</v>
      </c>
      <c r="F28" s="44" t="str">
        <f t="shared" si="1"/>
        <v>-</v>
      </c>
    </row>
    <row r="29" spans="1:6" ht="33" customHeight="1" x14ac:dyDescent="0.2">
      <c r="A29" s="96" t="s">
        <v>110</v>
      </c>
      <c r="B29" s="17" t="s">
        <v>155</v>
      </c>
      <c r="C29" s="36">
        <v>0</v>
      </c>
      <c r="D29" s="14">
        <f>C29</f>
        <v>0</v>
      </c>
      <c r="E29" s="43" t="str">
        <f t="shared" si="0"/>
        <v>-</v>
      </c>
      <c r="F29" s="44" t="str">
        <f t="shared" si="1"/>
        <v>-</v>
      </c>
    </row>
    <row r="30" spans="1:6" ht="31.5" customHeight="1" x14ac:dyDescent="0.2">
      <c r="A30" s="94" t="s">
        <v>156</v>
      </c>
      <c r="B30" s="89" t="s">
        <v>167</v>
      </c>
      <c r="C30" s="36">
        <v>0</v>
      </c>
      <c r="D30" s="14">
        <f t="shared" si="2"/>
        <v>0</v>
      </c>
      <c r="E30" s="43" t="str">
        <f t="shared" si="0"/>
        <v>-</v>
      </c>
      <c r="F30" s="44" t="str">
        <f t="shared" si="1"/>
        <v>-</v>
      </c>
    </row>
    <row r="31" spans="1:6" ht="33" customHeight="1" x14ac:dyDescent="0.2">
      <c r="A31" s="96" t="s">
        <v>111</v>
      </c>
      <c r="B31" s="17" t="s">
        <v>114</v>
      </c>
      <c r="C31" s="36">
        <v>0</v>
      </c>
      <c r="D31" s="14">
        <f t="shared" si="2"/>
        <v>0</v>
      </c>
      <c r="E31" s="43" t="str">
        <f t="shared" si="0"/>
        <v>-</v>
      </c>
      <c r="F31" s="44" t="str">
        <f t="shared" si="1"/>
        <v>-</v>
      </c>
    </row>
    <row r="32" spans="1:6" ht="33" customHeight="1" x14ac:dyDescent="0.2">
      <c r="A32" s="96" t="s">
        <v>112</v>
      </c>
      <c r="B32" s="17" t="s">
        <v>166</v>
      </c>
      <c r="C32" s="36">
        <v>9038</v>
      </c>
      <c r="D32" s="14">
        <f t="shared" si="2"/>
        <v>9038</v>
      </c>
      <c r="E32" s="43" t="str">
        <f t="shared" si="0"/>
        <v>-</v>
      </c>
      <c r="F32" s="44">
        <f t="shared" si="1"/>
        <v>1</v>
      </c>
    </row>
    <row r="33" spans="1:6" ht="42.75" customHeight="1" x14ac:dyDescent="0.2">
      <c r="A33" s="96" t="s">
        <v>223</v>
      </c>
      <c r="B33" s="17" t="s">
        <v>224</v>
      </c>
      <c r="C33" s="36">
        <v>0</v>
      </c>
      <c r="D33" s="14">
        <f t="shared" si="2"/>
        <v>0</v>
      </c>
      <c r="E33" s="43" t="str">
        <f>IF(C33=D33,"-",D33-C33)</f>
        <v>-</v>
      </c>
      <c r="F33" s="44" t="str">
        <f>IF(C33=0,"-",D33/C33)</f>
        <v>-</v>
      </c>
    </row>
    <row r="34" spans="1:6" ht="33" customHeight="1" x14ac:dyDescent="0.2">
      <c r="A34" s="96" t="s">
        <v>233</v>
      </c>
      <c r="B34" s="17" t="s">
        <v>234</v>
      </c>
      <c r="C34" s="36">
        <v>1000</v>
      </c>
      <c r="D34" s="14">
        <f t="shared" si="2"/>
        <v>1000</v>
      </c>
      <c r="E34" s="43" t="str">
        <f>IF(C34=D34,"-",D34-C34)</f>
        <v>-</v>
      </c>
      <c r="F34" s="44">
        <f>IF(C34=0,"-",D34/C34)</f>
        <v>1</v>
      </c>
    </row>
    <row r="35" spans="1:6" s="3" customFormat="1" ht="31.5" customHeight="1" x14ac:dyDescent="0.2">
      <c r="A35" s="97" t="s">
        <v>58</v>
      </c>
      <c r="B35" s="18" t="s">
        <v>59</v>
      </c>
      <c r="C35" s="37">
        <v>0</v>
      </c>
      <c r="D35" s="42">
        <f>C35</f>
        <v>0</v>
      </c>
      <c r="E35" s="8" t="str">
        <f t="shared" si="0"/>
        <v>-</v>
      </c>
      <c r="F35" s="45" t="str">
        <f t="shared" si="1"/>
        <v>-</v>
      </c>
    </row>
    <row r="36" spans="1:6" s="3" customFormat="1" ht="31.5" customHeight="1" x14ac:dyDescent="0.2">
      <c r="A36" s="97" t="s">
        <v>57</v>
      </c>
      <c r="B36" s="18" t="s">
        <v>60</v>
      </c>
      <c r="C36" s="37">
        <v>66857</v>
      </c>
      <c r="D36" s="42">
        <f>C36</f>
        <v>66857</v>
      </c>
      <c r="E36" s="8" t="str">
        <f t="shared" si="0"/>
        <v>-</v>
      </c>
      <c r="F36" s="45">
        <f t="shared" si="1"/>
        <v>1</v>
      </c>
    </row>
    <row r="37" spans="1:6" s="3" customFormat="1" ht="40.5" x14ac:dyDescent="0.2">
      <c r="A37" s="97" t="s">
        <v>235</v>
      </c>
      <c r="B37" s="18" t="s">
        <v>236</v>
      </c>
      <c r="C37" s="37">
        <v>13057</v>
      </c>
      <c r="D37" s="42">
        <f>C37</f>
        <v>13057</v>
      </c>
      <c r="E37" s="8" t="str">
        <f t="shared" si="0"/>
        <v>-</v>
      </c>
      <c r="F37" s="45">
        <f t="shared" si="1"/>
        <v>1</v>
      </c>
    </row>
    <row r="38" spans="1:6" s="3" customFormat="1" ht="42.75" customHeight="1" x14ac:dyDescent="0.2">
      <c r="A38" s="97" t="s">
        <v>157</v>
      </c>
      <c r="B38" s="18" t="s">
        <v>158</v>
      </c>
      <c r="C38" s="37">
        <f>C11+C13+C24+C30</f>
        <v>296732</v>
      </c>
      <c r="D38" s="37">
        <f>D11+D13+D24+D30</f>
        <v>296732</v>
      </c>
      <c r="E38" s="8" t="str">
        <f t="shared" si="0"/>
        <v>-</v>
      </c>
      <c r="F38" s="45">
        <f t="shared" si="1"/>
        <v>1</v>
      </c>
    </row>
    <row r="39" spans="1:6" ht="30" customHeight="1" x14ac:dyDescent="0.2">
      <c r="A39" s="151" t="s">
        <v>16</v>
      </c>
      <c r="B39" s="152" t="s">
        <v>228</v>
      </c>
      <c r="C39" s="135">
        <f>C40+C41+C42+C50+C52+C58+C59+C57</f>
        <v>17516</v>
      </c>
      <c r="D39" s="135">
        <f>D40+D41+D42+D50+D52+D58+D59+D57</f>
        <v>17516</v>
      </c>
      <c r="E39" s="131" t="str">
        <f t="shared" si="0"/>
        <v>-</v>
      </c>
      <c r="F39" s="153">
        <f t="shared" si="1"/>
        <v>1</v>
      </c>
    </row>
    <row r="40" spans="1:6" ht="28.5" customHeight="1" x14ac:dyDescent="0.2">
      <c r="A40" s="96" t="s">
        <v>17</v>
      </c>
      <c r="B40" s="20" t="s">
        <v>18</v>
      </c>
      <c r="C40" s="36">
        <v>810</v>
      </c>
      <c r="D40" s="38">
        <f>C40</f>
        <v>810</v>
      </c>
      <c r="E40" s="43" t="str">
        <f t="shared" si="0"/>
        <v>-</v>
      </c>
      <c r="F40" s="44">
        <f t="shared" si="1"/>
        <v>1</v>
      </c>
    </row>
    <row r="41" spans="1:6" ht="28.5" customHeight="1" x14ac:dyDescent="0.2">
      <c r="A41" s="96" t="s">
        <v>19</v>
      </c>
      <c r="B41" s="20" t="s">
        <v>20</v>
      </c>
      <c r="C41" s="36">
        <v>2153</v>
      </c>
      <c r="D41" s="38">
        <f t="shared" ref="D41:D59" si="3">C41</f>
        <v>2153</v>
      </c>
      <c r="E41" s="43" t="str">
        <f t="shared" si="0"/>
        <v>-</v>
      </c>
      <c r="F41" s="44">
        <f t="shared" si="1"/>
        <v>1</v>
      </c>
    </row>
    <row r="42" spans="1:6" ht="28.5" customHeight="1" x14ac:dyDescent="0.2">
      <c r="A42" s="96" t="s">
        <v>21</v>
      </c>
      <c r="B42" s="21" t="s">
        <v>229</v>
      </c>
      <c r="C42" s="38">
        <f>C43+C45+C46+C47+C48+C49</f>
        <v>78</v>
      </c>
      <c r="D42" s="38">
        <f>D43+D45+D46+D47+D48+D49</f>
        <v>78</v>
      </c>
      <c r="E42" s="43" t="str">
        <f t="shared" si="0"/>
        <v>-</v>
      </c>
      <c r="F42" s="44">
        <f t="shared" si="1"/>
        <v>1</v>
      </c>
    </row>
    <row r="43" spans="1:6" ht="28.5" customHeight="1" x14ac:dyDescent="0.2">
      <c r="A43" s="99" t="s">
        <v>39</v>
      </c>
      <c r="B43" s="90" t="s">
        <v>32</v>
      </c>
      <c r="C43" s="36">
        <v>15</v>
      </c>
      <c r="D43" s="38">
        <f t="shared" si="3"/>
        <v>15</v>
      </c>
      <c r="E43" s="43" t="str">
        <f t="shared" si="0"/>
        <v>-</v>
      </c>
      <c r="F43" s="44">
        <f t="shared" si="1"/>
        <v>1</v>
      </c>
    </row>
    <row r="44" spans="1:6" ht="28.5" customHeight="1" x14ac:dyDescent="0.2">
      <c r="A44" s="99" t="s">
        <v>40</v>
      </c>
      <c r="B44" s="91" t="s">
        <v>33</v>
      </c>
      <c r="C44" s="36">
        <v>15</v>
      </c>
      <c r="D44" s="38">
        <f t="shared" si="3"/>
        <v>15</v>
      </c>
      <c r="E44" s="43" t="str">
        <f t="shared" si="0"/>
        <v>-</v>
      </c>
      <c r="F44" s="44">
        <f t="shared" si="1"/>
        <v>1</v>
      </c>
    </row>
    <row r="45" spans="1:6" ht="28.5" customHeight="1" x14ac:dyDescent="0.2">
      <c r="A45" s="99" t="s">
        <v>41</v>
      </c>
      <c r="B45" s="90" t="s">
        <v>34</v>
      </c>
      <c r="C45" s="36">
        <v>0</v>
      </c>
      <c r="D45" s="38">
        <f t="shared" si="3"/>
        <v>0</v>
      </c>
      <c r="E45" s="43" t="str">
        <f t="shared" si="0"/>
        <v>-</v>
      </c>
      <c r="F45" s="44" t="str">
        <f t="shared" si="1"/>
        <v>-</v>
      </c>
    </row>
    <row r="46" spans="1:6" ht="28.5" customHeight="1" x14ac:dyDescent="0.2">
      <c r="A46" s="99" t="s">
        <v>42</v>
      </c>
      <c r="B46" s="90" t="s">
        <v>35</v>
      </c>
      <c r="C46" s="36">
        <v>0</v>
      </c>
      <c r="D46" s="38">
        <f t="shared" si="3"/>
        <v>0</v>
      </c>
      <c r="E46" s="43" t="str">
        <f t="shared" si="0"/>
        <v>-</v>
      </c>
      <c r="F46" s="44" t="str">
        <f t="shared" si="1"/>
        <v>-</v>
      </c>
    </row>
    <row r="47" spans="1:6" ht="28.5" customHeight="1" x14ac:dyDescent="0.2">
      <c r="A47" s="99" t="s">
        <v>43</v>
      </c>
      <c r="B47" s="90" t="s">
        <v>36</v>
      </c>
      <c r="C47" s="36">
        <v>0</v>
      </c>
      <c r="D47" s="38">
        <f t="shared" si="3"/>
        <v>0</v>
      </c>
      <c r="E47" s="43" t="str">
        <f t="shared" si="0"/>
        <v>-</v>
      </c>
      <c r="F47" s="44" t="str">
        <f t="shared" si="1"/>
        <v>-</v>
      </c>
    </row>
    <row r="48" spans="1:6" ht="28.5" customHeight="1" x14ac:dyDescent="0.2">
      <c r="A48" s="99" t="s">
        <v>44</v>
      </c>
      <c r="B48" s="90" t="s">
        <v>37</v>
      </c>
      <c r="C48" s="36">
        <v>40</v>
      </c>
      <c r="D48" s="38">
        <f t="shared" si="3"/>
        <v>40</v>
      </c>
      <c r="E48" s="43" t="str">
        <f t="shared" si="0"/>
        <v>-</v>
      </c>
      <c r="F48" s="44">
        <f t="shared" si="1"/>
        <v>1</v>
      </c>
    </row>
    <row r="49" spans="1:6" ht="28.5" customHeight="1" x14ac:dyDescent="0.2">
      <c r="A49" s="99" t="s">
        <v>45</v>
      </c>
      <c r="B49" s="90" t="s">
        <v>38</v>
      </c>
      <c r="C49" s="36">
        <v>23</v>
      </c>
      <c r="D49" s="38">
        <f t="shared" si="3"/>
        <v>23</v>
      </c>
      <c r="E49" s="43" t="str">
        <f t="shared" si="0"/>
        <v>-</v>
      </c>
      <c r="F49" s="44">
        <f t="shared" si="1"/>
        <v>1</v>
      </c>
    </row>
    <row r="50" spans="1:6" ht="28.5" customHeight="1" x14ac:dyDescent="0.2">
      <c r="A50" s="96" t="s">
        <v>22</v>
      </c>
      <c r="B50" s="20" t="s">
        <v>159</v>
      </c>
      <c r="C50" s="36">
        <v>9106</v>
      </c>
      <c r="D50" s="38">
        <f t="shared" si="3"/>
        <v>9106</v>
      </c>
      <c r="E50" s="43" t="str">
        <f t="shared" si="0"/>
        <v>-</v>
      </c>
      <c r="F50" s="44">
        <f t="shared" si="1"/>
        <v>1</v>
      </c>
    </row>
    <row r="51" spans="1:6" ht="28.5" customHeight="1" x14ac:dyDescent="0.2">
      <c r="A51" s="99" t="s">
        <v>160</v>
      </c>
      <c r="B51" s="90" t="s">
        <v>161</v>
      </c>
      <c r="C51" s="36">
        <v>43</v>
      </c>
      <c r="D51" s="38">
        <f t="shared" si="3"/>
        <v>43</v>
      </c>
      <c r="E51" s="43" t="str">
        <f t="shared" si="0"/>
        <v>-</v>
      </c>
      <c r="F51" s="44">
        <f t="shared" si="1"/>
        <v>1</v>
      </c>
    </row>
    <row r="52" spans="1:6" ht="28.5" customHeight="1" x14ac:dyDescent="0.2">
      <c r="A52" s="96" t="s">
        <v>23</v>
      </c>
      <c r="B52" s="21" t="s">
        <v>227</v>
      </c>
      <c r="C52" s="34">
        <f>C53+C54+C55+C56</f>
        <v>2062</v>
      </c>
      <c r="D52" s="34">
        <f>D53+D54+D55+D56</f>
        <v>2062</v>
      </c>
      <c r="E52" s="43" t="str">
        <f t="shared" si="0"/>
        <v>-</v>
      </c>
      <c r="F52" s="44">
        <f t="shared" si="1"/>
        <v>1</v>
      </c>
    </row>
    <row r="53" spans="1:6" ht="28.5" customHeight="1" x14ac:dyDescent="0.2">
      <c r="A53" s="99" t="s">
        <v>50</v>
      </c>
      <c r="B53" s="90" t="s">
        <v>46</v>
      </c>
      <c r="C53" s="36">
        <v>1562</v>
      </c>
      <c r="D53" s="38">
        <f t="shared" si="3"/>
        <v>1562</v>
      </c>
      <c r="E53" s="43" t="str">
        <f t="shared" si="0"/>
        <v>-</v>
      </c>
      <c r="F53" s="44">
        <f t="shared" si="1"/>
        <v>1</v>
      </c>
    </row>
    <row r="54" spans="1:6" ht="28.5" customHeight="1" x14ac:dyDescent="0.2">
      <c r="A54" s="99" t="s">
        <v>51</v>
      </c>
      <c r="B54" s="90" t="s">
        <v>47</v>
      </c>
      <c r="C54" s="36">
        <v>222</v>
      </c>
      <c r="D54" s="38">
        <f t="shared" si="3"/>
        <v>222</v>
      </c>
      <c r="E54" s="43" t="str">
        <f t="shared" si="0"/>
        <v>-</v>
      </c>
      <c r="F54" s="44">
        <f t="shared" si="1"/>
        <v>1</v>
      </c>
    </row>
    <row r="55" spans="1:6" ht="28.5" customHeight="1" x14ac:dyDescent="0.2">
      <c r="A55" s="99" t="s">
        <v>52</v>
      </c>
      <c r="B55" s="90" t="s">
        <v>48</v>
      </c>
      <c r="C55" s="36">
        <v>0</v>
      </c>
      <c r="D55" s="38">
        <f t="shared" si="3"/>
        <v>0</v>
      </c>
      <c r="E55" s="43" t="str">
        <f t="shared" si="0"/>
        <v>-</v>
      </c>
      <c r="F55" s="44" t="str">
        <f t="shared" si="1"/>
        <v>-</v>
      </c>
    </row>
    <row r="56" spans="1:6" ht="28.5" customHeight="1" x14ac:dyDescent="0.2">
      <c r="A56" s="99" t="s">
        <v>53</v>
      </c>
      <c r="B56" s="90" t="s">
        <v>49</v>
      </c>
      <c r="C56" s="36">
        <v>278</v>
      </c>
      <c r="D56" s="38">
        <f t="shared" si="3"/>
        <v>278</v>
      </c>
      <c r="E56" s="43" t="str">
        <f t="shared" si="0"/>
        <v>-</v>
      </c>
      <c r="F56" s="44">
        <f t="shared" si="1"/>
        <v>1</v>
      </c>
    </row>
    <row r="57" spans="1:6" ht="28.5" customHeight="1" x14ac:dyDescent="0.2">
      <c r="A57" s="96" t="s">
        <v>24</v>
      </c>
      <c r="B57" s="20" t="s">
        <v>25</v>
      </c>
      <c r="C57" s="36">
        <v>0</v>
      </c>
      <c r="D57" s="38">
        <f t="shared" si="3"/>
        <v>0</v>
      </c>
      <c r="E57" s="43" t="str">
        <f t="shared" si="0"/>
        <v>-</v>
      </c>
      <c r="F57" s="44" t="str">
        <f t="shared" si="1"/>
        <v>-</v>
      </c>
    </row>
    <row r="58" spans="1:6" ht="28.5" customHeight="1" x14ac:dyDescent="0.2">
      <c r="A58" s="96" t="s">
        <v>26</v>
      </c>
      <c r="B58" s="20" t="s">
        <v>162</v>
      </c>
      <c r="C58" s="36">
        <v>3000</v>
      </c>
      <c r="D58" s="38">
        <f t="shared" si="3"/>
        <v>3000</v>
      </c>
      <c r="E58" s="43" t="str">
        <f t="shared" si="0"/>
        <v>-</v>
      </c>
      <c r="F58" s="46">
        <f t="shared" si="1"/>
        <v>1</v>
      </c>
    </row>
    <row r="59" spans="1:6" ht="28.5" customHeight="1" x14ac:dyDescent="0.2">
      <c r="A59" s="96" t="s">
        <v>27</v>
      </c>
      <c r="B59" s="20" t="s">
        <v>28</v>
      </c>
      <c r="C59" s="36">
        <v>307</v>
      </c>
      <c r="D59" s="38">
        <f t="shared" si="3"/>
        <v>307</v>
      </c>
      <c r="E59" s="43" t="str">
        <f t="shared" si="0"/>
        <v>-</v>
      </c>
      <c r="F59" s="44">
        <f t="shared" si="1"/>
        <v>1</v>
      </c>
    </row>
    <row r="60" spans="1:6" ht="30" customHeight="1" x14ac:dyDescent="0.2">
      <c r="A60" s="142" t="s">
        <v>135</v>
      </c>
      <c r="B60" s="143" t="s">
        <v>163</v>
      </c>
      <c r="C60" s="154">
        <f>C61+C62+C63+C64</f>
        <v>4590</v>
      </c>
      <c r="D60" s="154">
        <f>D61+D62+D63+D64</f>
        <v>4590</v>
      </c>
      <c r="E60" s="131" t="str">
        <f t="shared" si="0"/>
        <v>-</v>
      </c>
      <c r="F60" s="155">
        <f t="shared" si="1"/>
        <v>1</v>
      </c>
    </row>
    <row r="61" spans="1:6" ht="42" customHeight="1" x14ac:dyDescent="0.2">
      <c r="A61" s="96" t="s">
        <v>101</v>
      </c>
      <c r="B61" s="20" t="s">
        <v>115</v>
      </c>
      <c r="C61" s="36">
        <v>0</v>
      </c>
      <c r="D61" s="38">
        <f>C61</f>
        <v>0</v>
      </c>
      <c r="E61" s="34" t="str">
        <f t="shared" si="0"/>
        <v>-</v>
      </c>
      <c r="F61" s="44" t="str">
        <f t="shared" si="1"/>
        <v>-</v>
      </c>
    </row>
    <row r="62" spans="1:6" ht="31.5" customHeight="1" x14ac:dyDescent="0.2">
      <c r="A62" s="96" t="s">
        <v>30</v>
      </c>
      <c r="B62" s="20" t="s">
        <v>55</v>
      </c>
      <c r="C62" s="36">
        <v>3730</v>
      </c>
      <c r="D62" s="38">
        <f>C62</f>
        <v>3730</v>
      </c>
      <c r="E62" s="34" t="str">
        <f t="shared" si="0"/>
        <v>-</v>
      </c>
      <c r="F62" s="44">
        <f t="shared" si="1"/>
        <v>1</v>
      </c>
    </row>
    <row r="63" spans="1:6" ht="31.5" customHeight="1" x14ac:dyDescent="0.2">
      <c r="A63" s="96" t="s">
        <v>31</v>
      </c>
      <c r="B63" s="20" t="s">
        <v>103</v>
      </c>
      <c r="C63" s="36">
        <v>0</v>
      </c>
      <c r="D63" s="38">
        <f>C63</f>
        <v>0</v>
      </c>
      <c r="E63" s="34" t="str">
        <f t="shared" si="0"/>
        <v>-</v>
      </c>
      <c r="F63" s="44" t="str">
        <f t="shared" si="1"/>
        <v>-</v>
      </c>
    </row>
    <row r="64" spans="1:6" ht="31.5" customHeight="1" x14ac:dyDescent="0.2">
      <c r="A64" s="96" t="s">
        <v>102</v>
      </c>
      <c r="B64" s="20" t="s">
        <v>104</v>
      </c>
      <c r="C64" s="36">
        <v>860</v>
      </c>
      <c r="D64" s="38">
        <f>C64</f>
        <v>860</v>
      </c>
      <c r="E64" s="34" t="str">
        <f t="shared" si="0"/>
        <v>-</v>
      </c>
      <c r="F64" s="44">
        <f t="shared" si="1"/>
        <v>1</v>
      </c>
    </row>
    <row r="65" spans="1:6" ht="32.25" customHeight="1" x14ac:dyDescent="0.2">
      <c r="A65" s="142" t="s">
        <v>137</v>
      </c>
      <c r="B65" s="143" t="s">
        <v>116</v>
      </c>
      <c r="C65" s="154">
        <v>750</v>
      </c>
      <c r="D65" s="154">
        <f>C65</f>
        <v>750</v>
      </c>
      <c r="E65" s="131" t="str">
        <f t="shared" si="0"/>
        <v>-</v>
      </c>
      <c r="F65" s="155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13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5.7109375" style="2" customWidth="1"/>
    <col min="4" max="4" width="26.85546875" style="2" customWidth="1"/>
    <col min="5" max="5" width="25.140625" style="2" customWidth="1"/>
    <col min="6" max="6" width="20.7109375" style="2" customWidth="1"/>
    <col min="7" max="16384" width="9.140625" style="2"/>
  </cols>
  <sheetData>
    <row r="1" spans="1:6" s="24" customFormat="1" ht="46.5" customHeight="1" x14ac:dyDescent="0.2">
      <c r="A1" s="160" t="str">
        <f>NFZ!A1</f>
        <v>ZMIANA PLANU FINANSOWEGO NARODOWEGO FUNDUSZU ZDROWIA NA 2017 ROK Z DNIA 18 LIPCA 2017 R.</v>
      </c>
      <c r="B1" s="160"/>
      <c r="C1" s="160"/>
      <c r="D1" s="160"/>
      <c r="E1" s="160"/>
      <c r="F1" s="160"/>
    </row>
    <row r="2" spans="1:6" s="26" customFormat="1" ht="33" customHeight="1" x14ac:dyDescent="0.2">
      <c r="A2" s="115" t="s">
        <v>65</v>
      </c>
      <c r="B2" s="115"/>
      <c r="C2" s="116"/>
    </row>
    <row r="3" spans="1:6" ht="33" customHeight="1" x14ac:dyDescent="0.25">
      <c r="A3" s="5"/>
      <c r="B3" s="6"/>
      <c r="C3" s="40"/>
      <c r="D3" s="40"/>
      <c r="E3" s="40" t="s">
        <v>141</v>
      </c>
      <c r="F3" s="7"/>
    </row>
    <row r="4" spans="1:6" s="117" customFormat="1" ht="65.099999999999994" customHeight="1" x14ac:dyDescent="0.2">
      <c r="A4" s="124" t="s">
        <v>118</v>
      </c>
      <c r="B4" s="124" t="s">
        <v>54</v>
      </c>
      <c r="C4" s="125" t="s">
        <v>230</v>
      </c>
      <c r="D4" s="125" t="s">
        <v>171</v>
      </c>
      <c r="E4" s="126" t="s">
        <v>172</v>
      </c>
      <c r="F4" s="126" t="s">
        <v>173</v>
      </c>
    </row>
    <row r="5" spans="1:6" s="118" customFormat="1" ht="14.25" x14ac:dyDescent="0.2">
      <c r="A5" s="127">
        <v>1</v>
      </c>
      <c r="B5" s="128">
        <v>2</v>
      </c>
      <c r="C5" s="127">
        <v>3</v>
      </c>
      <c r="D5" s="128">
        <v>4</v>
      </c>
      <c r="E5" s="127">
        <v>5</v>
      </c>
      <c r="F5" s="128">
        <v>6</v>
      </c>
    </row>
    <row r="6" spans="1:6" ht="30" customHeight="1" x14ac:dyDescent="0.2">
      <c r="A6" s="101" t="s">
        <v>0</v>
      </c>
      <c r="B6" s="73" t="s">
        <v>232</v>
      </c>
      <c r="C6" s="150">
        <f>C7+C8+C9+C14+C15+C16+C17+C18+C19+C20+C21+C22+C23+C24+C28+C29+C31+C32+C33+C34</f>
        <v>4915173</v>
      </c>
      <c r="D6" s="150">
        <f>D7+D8+D9+D14+D15+D16+D17+D18+D19+D20+D21+D22+D23+D24+D28+D29+D31+D32+D33+D34</f>
        <v>5013253</v>
      </c>
      <c r="E6" s="131">
        <f>IF(C6=D6,"-",D6-C6)</f>
        <v>98080</v>
      </c>
      <c r="F6" s="148">
        <f>IF(C6=0,"-",D6/C6)</f>
        <v>1.02</v>
      </c>
    </row>
    <row r="7" spans="1:6" ht="33" customHeight="1" x14ac:dyDescent="0.2">
      <c r="A7" s="93" t="s">
        <v>1</v>
      </c>
      <c r="B7" s="15" t="s">
        <v>119</v>
      </c>
      <c r="C7" s="36">
        <v>644725</v>
      </c>
      <c r="D7" s="14">
        <f>C7+23275</f>
        <v>668000</v>
      </c>
      <c r="E7" s="43">
        <f t="shared" ref="E7:E65" si="0">IF(C7=D7,"-",D7-C7)</f>
        <v>23275</v>
      </c>
      <c r="F7" s="44">
        <f t="shared" ref="F7:F65" si="1">IF(C7=0,"-",D7/C7)</f>
        <v>1.0361</v>
      </c>
    </row>
    <row r="8" spans="1:6" ht="33" customHeight="1" x14ac:dyDescent="0.2">
      <c r="A8" s="93" t="s">
        <v>2</v>
      </c>
      <c r="B8" s="15" t="s">
        <v>120</v>
      </c>
      <c r="C8" s="36">
        <v>376389</v>
      </c>
      <c r="D8" s="14">
        <f>C8+4500</f>
        <v>380889</v>
      </c>
      <c r="E8" s="43">
        <f t="shared" si="0"/>
        <v>4500</v>
      </c>
      <c r="F8" s="44">
        <f t="shared" si="1"/>
        <v>1.012</v>
      </c>
    </row>
    <row r="9" spans="1:6" ht="33" customHeight="1" x14ac:dyDescent="0.2">
      <c r="A9" s="93" t="s">
        <v>3</v>
      </c>
      <c r="B9" s="15" t="s">
        <v>117</v>
      </c>
      <c r="C9" s="36">
        <v>2444744</v>
      </c>
      <c r="D9" s="14">
        <f>C9+58225-2500-500</f>
        <v>2499969</v>
      </c>
      <c r="E9" s="43">
        <f t="shared" si="0"/>
        <v>55225</v>
      </c>
      <c r="F9" s="44">
        <f t="shared" si="1"/>
        <v>1.0226</v>
      </c>
    </row>
    <row r="10" spans="1:6" ht="31.5" customHeight="1" x14ac:dyDescent="0.2">
      <c r="A10" s="94" t="s">
        <v>56</v>
      </c>
      <c r="B10" s="89" t="s">
        <v>142</v>
      </c>
      <c r="C10" s="36">
        <v>236206</v>
      </c>
      <c r="D10" s="14">
        <f>C10</f>
        <v>236206</v>
      </c>
      <c r="E10" s="43" t="str">
        <f t="shared" si="0"/>
        <v>-</v>
      </c>
      <c r="F10" s="44">
        <f t="shared" si="1"/>
        <v>1</v>
      </c>
    </row>
    <row r="11" spans="1:6" ht="31.5" customHeight="1" x14ac:dyDescent="0.2">
      <c r="A11" s="94" t="s">
        <v>143</v>
      </c>
      <c r="B11" s="89" t="s">
        <v>146</v>
      </c>
      <c r="C11" s="36">
        <v>212474</v>
      </c>
      <c r="D11" s="14">
        <f>C11</f>
        <v>212474</v>
      </c>
      <c r="E11" s="43" t="str">
        <f t="shared" si="0"/>
        <v>-</v>
      </c>
      <c r="F11" s="44">
        <f t="shared" si="1"/>
        <v>1</v>
      </c>
    </row>
    <row r="12" spans="1:6" ht="31.5" customHeight="1" x14ac:dyDescent="0.2">
      <c r="A12" s="94" t="s">
        <v>144</v>
      </c>
      <c r="B12" s="89" t="s">
        <v>147</v>
      </c>
      <c r="C12" s="36">
        <v>89732</v>
      </c>
      <c r="D12" s="14">
        <f>C12</f>
        <v>89732</v>
      </c>
      <c r="E12" s="43" t="str">
        <f t="shared" si="0"/>
        <v>-</v>
      </c>
      <c r="F12" s="44">
        <f t="shared" si="1"/>
        <v>1</v>
      </c>
    </row>
    <row r="13" spans="1:6" ht="31.5" customHeight="1" x14ac:dyDescent="0.2">
      <c r="A13" s="94" t="s">
        <v>145</v>
      </c>
      <c r="B13" s="89" t="s">
        <v>148</v>
      </c>
      <c r="C13" s="36">
        <v>35865</v>
      </c>
      <c r="D13" s="14">
        <f>C13</f>
        <v>35865</v>
      </c>
      <c r="E13" s="43" t="str">
        <f t="shared" si="0"/>
        <v>-</v>
      </c>
      <c r="F13" s="44">
        <f t="shared" si="1"/>
        <v>1</v>
      </c>
    </row>
    <row r="14" spans="1:6" ht="33" customHeight="1" x14ac:dyDescent="0.2">
      <c r="A14" s="93" t="s">
        <v>4</v>
      </c>
      <c r="B14" s="15" t="s">
        <v>125</v>
      </c>
      <c r="C14" s="36">
        <v>186357</v>
      </c>
      <c r="D14" s="14">
        <f t="shared" ref="D14:D34" si="2">C14</f>
        <v>186357</v>
      </c>
      <c r="E14" s="43" t="str">
        <f t="shared" si="0"/>
        <v>-</v>
      </c>
      <c r="F14" s="44">
        <f t="shared" si="1"/>
        <v>1</v>
      </c>
    </row>
    <row r="15" spans="1:6" ht="33" customHeight="1" x14ac:dyDescent="0.2">
      <c r="A15" s="93" t="s">
        <v>5</v>
      </c>
      <c r="B15" s="15" t="s">
        <v>121</v>
      </c>
      <c r="C15" s="36">
        <v>132763</v>
      </c>
      <c r="D15" s="14">
        <f t="shared" si="2"/>
        <v>132763</v>
      </c>
      <c r="E15" s="43" t="str">
        <f t="shared" si="0"/>
        <v>-</v>
      </c>
      <c r="F15" s="44">
        <f t="shared" si="1"/>
        <v>1</v>
      </c>
    </row>
    <row r="16" spans="1:6" ht="33" customHeight="1" x14ac:dyDescent="0.2">
      <c r="A16" s="93" t="s">
        <v>6</v>
      </c>
      <c r="B16" s="15" t="s">
        <v>127</v>
      </c>
      <c r="C16" s="36">
        <v>66229</v>
      </c>
      <c r="D16" s="14">
        <f t="shared" si="2"/>
        <v>66229</v>
      </c>
      <c r="E16" s="43" t="str">
        <f t="shared" si="0"/>
        <v>-</v>
      </c>
      <c r="F16" s="44">
        <f t="shared" si="1"/>
        <v>1</v>
      </c>
    </row>
    <row r="17" spans="1:6" ht="33" customHeight="1" x14ac:dyDescent="0.2">
      <c r="A17" s="93" t="s">
        <v>7</v>
      </c>
      <c r="B17" s="15" t="s">
        <v>126</v>
      </c>
      <c r="C17" s="36">
        <v>34864</v>
      </c>
      <c r="D17" s="14">
        <f t="shared" si="2"/>
        <v>34864</v>
      </c>
      <c r="E17" s="43" t="str">
        <f t="shared" si="0"/>
        <v>-</v>
      </c>
      <c r="F17" s="44">
        <f t="shared" si="1"/>
        <v>1</v>
      </c>
    </row>
    <row r="18" spans="1:6" ht="33" customHeight="1" x14ac:dyDescent="0.2">
      <c r="A18" s="93" t="s">
        <v>8</v>
      </c>
      <c r="B18" s="15" t="s">
        <v>122</v>
      </c>
      <c r="C18" s="36">
        <v>125141</v>
      </c>
      <c r="D18" s="14">
        <f t="shared" si="2"/>
        <v>125141</v>
      </c>
      <c r="E18" s="43" t="str">
        <f t="shared" si="0"/>
        <v>-</v>
      </c>
      <c r="F18" s="44">
        <f t="shared" si="1"/>
        <v>1</v>
      </c>
    </row>
    <row r="19" spans="1:6" ht="33" customHeight="1" x14ac:dyDescent="0.2">
      <c r="A19" s="93" t="s">
        <v>9</v>
      </c>
      <c r="B19" s="15" t="s">
        <v>123</v>
      </c>
      <c r="C19" s="36">
        <v>43500</v>
      </c>
      <c r="D19" s="14">
        <f t="shared" si="2"/>
        <v>43500</v>
      </c>
      <c r="E19" s="43" t="str">
        <f t="shared" si="0"/>
        <v>-</v>
      </c>
      <c r="F19" s="44">
        <f t="shared" si="1"/>
        <v>1</v>
      </c>
    </row>
    <row r="20" spans="1:6" ht="33" customHeight="1" x14ac:dyDescent="0.2">
      <c r="A20" s="93" t="s">
        <v>10</v>
      </c>
      <c r="B20" s="15" t="s">
        <v>128</v>
      </c>
      <c r="C20" s="36">
        <v>3079</v>
      </c>
      <c r="D20" s="14">
        <f t="shared" si="2"/>
        <v>3079</v>
      </c>
      <c r="E20" s="43" t="str">
        <f t="shared" si="0"/>
        <v>-</v>
      </c>
      <c r="F20" s="44">
        <f t="shared" si="1"/>
        <v>1</v>
      </c>
    </row>
    <row r="21" spans="1:6" ht="46.5" customHeight="1" x14ac:dyDescent="0.2">
      <c r="A21" s="93" t="s">
        <v>11</v>
      </c>
      <c r="B21" s="15" t="s">
        <v>124</v>
      </c>
      <c r="C21" s="36">
        <v>11501</v>
      </c>
      <c r="D21" s="14">
        <f t="shared" si="2"/>
        <v>11501</v>
      </c>
      <c r="E21" s="43" t="str">
        <f t="shared" si="0"/>
        <v>-</v>
      </c>
      <c r="F21" s="44">
        <f t="shared" si="1"/>
        <v>1</v>
      </c>
    </row>
    <row r="22" spans="1:6" ht="33" customHeight="1" x14ac:dyDescent="0.2">
      <c r="A22" s="93" t="s">
        <v>12</v>
      </c>
      <c r="B22" s="15" t="s">
        <v>165</v>
      </c>
      <c r="C22" s="36">
        <v>158999</v>
      </c>
      <c r="D22" s="14">
        <f t="shared" si="2"/>
        <v>158999</v>
      </c>
      <c r="E22" s="43" t="str">
        <f t="shared" si="0"/>
        <v>-</v>
      </c>
      <c r="F22" s="44">
        <f t="shared" si="1"/>
        <v>1</v>
      </c>
    </row>
    <row r="23" spans="1:6" ht="33" customHeight="1" x14ac:dyDescent="0.2">
      <c r="A23" s="93" t="s">
        <v>13</v>
      </c>
      <c r="B23" s="15" t="s">
        <v>149</v>
      </c>
      <c r="C23" s="36">
        <v>67421</v>
      </c>
      <c r="D23" s="14">
        <f t="shared" si="2"/>
        <v>67421</v>
      </c>
      <c r="E23" s="43" t="str">
        <f t="shared" si="0"/>
        <v>-</v>
      </c>
      <c r="F23" s="44">
        <f t="shared" si="1"/>
        <v>1</v>
      </c>
    </row>
    <row r="24" spans="1:6" ht="33" customHeight="1" x14ac:dyDescent="0.2">
      <c r="A24" s="95" t="s">
        <v>14</v>
      </c>
      <c r="B24" s="35" t="s">
        <v>222</v>
      </c>
      <c r="C24" s="36">
        <v>586703</v>
      </c>
      <c r="D24" s="36">
        <f>SUM(D25:D27)</f>
        <v>586703</v>
      </c>
      <c r="E24" s="43" t="str">
        <f t="shared" si="0"/>
        <v>-</v>
      </c>
      <c r="F24" s="44">
        <f t="shared" si="1"/>
        <v>1</v>
      </c>
    </row>
    <row r="25" spans="1:6" ht="37.5" x14ac:dyDescent="0.2">
      <c r="A25" s="94" t="s">
        <v>129</v>
      </c>
      <c r="B25" s="89" t="s">
        <v>151</v>
      </c>
      <c r="C25" s="36">
        <v>584990</v>
      </c>
      <c r="D25" s="14">
        <f>C25</f>
        <v>584990</v>
      </c>
      <c r="E25" s="43" t="str">
        <f t="shared" si="0"/>
        <v>-</v>
      </c>
      <c r="F25" s="44">
        <f t="shared" si="1"/>
        <v>1</v>
      </c>
    </row>
    <row r="26" spans="1:6" ht="31.5" customHeight="1" x14ac:dyDescent="0.2">
      <c r="A26" s="94" t="s">
        <v>150</v>
      </c>
      <c r="B26" s="89" t="s">
        <v>153</v>
      </c>
      <c r="C26" s="36">
        <v>889</v>
      </c>
      <c r="D26" s="14">
        <f t="shared" si="2"/>
        <v>889</v>
      </c>
      <c r="E26" s="43" t="str">
        <f t="shared" si="0"/>
        <v>-</v>
      </c>
      <c r="F26" s="44">
        <f t="shared" si="1"/>
        <v>1</v>
      </c>
    </row>
    <row r="27" spans="1:6" ht="37.5" x14ac:dyDescent="0.2">
      <c r="A27" s="94" t="s">
        <v>154</v>
      </c>
      <c r="B27" s="89" t="s">
        <v>152</v>
      </c>
      <c r="C27" s="36">
        <v>824</v>
      </c>
      <c r="D27" s="14">
        <f t="shared" si="2"/>
        <v>824</v>
      </c>
      <c r="E27" s="43" t="str">
        <f t="shared" si="0"/>
        <v>-</v>
      </c>
      <c r="F27" s="44">
        <f t="shared" si="1"/>
        <v>1</v>
      </c>
    </row>
    <row r="28" spans="1:6" ht="33" customHeight="1" x14ac:dyDescent="0.2">
      <c r="A28" s="96" t="s">
        <v>15</v>
      </c>
      <c r="B28" s="16" t="s">
        <v>113</v>
      </c>
      <c r="C28" s="36">
        <v>0</v>
      </c>
      <c r="D28" s="14">
        <f t="shared" si="2"/>
        <v>0</v>
      </c>
      <c r="E28" s="43" t="str">
        <f t="shared" si="0"/>
        <v>-</v>
      </c>
      <c r="F28" s="44" t="str">
        <f t="shared" si="1"/>
        <v>-</v>
      </c>
    </row>
    <row r="29" spans="1:6" ht="33" customHeight="1" x14ac:dyDescent="0.2">
      <c r="A29" s="96" t="s">
        <v>110</v>
      </c>
      <c r="B29" s="17" t="s">
        <v>155</v>
      </c>
      <c r="C29" s="36">
        <v>0</v>
      </c>
      <c r="D29" s="14">
        <f>C29+15080</f>
        <v>15080</v>
      </c>
      <c r="E29" s="43">
        <f t="shared" si="0"/>
        <v>15080</v>
      </c>
      <c r="F29" s="44" t="str">
        <f t="shared" si="1"/>
        <v>-</v>
      </c>
    </row>
    <row r="30" spans="1:6" ht="31.5" customHeight="1" x14ac:dyDescent="0.2">
      <c r="A30" s="94" t="s">
        <v>156</v>
      </c>
      <c r="B30" s="89" t="s">
        <v>167</v>
      </c>
      <c r="C30" s="36">
        <v>0</v>
      </c>
      <c r="D30" s="14">
        <f t="shared" si="2"/>
        <v>0</v>
      </c>
      <c r="E30" s="43" t="str">
        <f t="shared" si="0"/>
        <v>-</v>
      </c>
      <c r="F30" s="44" t="str">
        <f t="shared" si="1"/>
        <v>-</v>
      </c>
    </row>
    <row r="31" spans="1:6" ht="33" customHeight="1" x14ac:dyDescent="0.2">
      <c r="A31" s="96" t="s">
        <v>111</v>
      </c>
      <c r="B31" s="17" t="s">
        <v>114</v>
      </c>
      <c r="C31" s="36">
        <v>0</v>
      </c>
      <c r="D31" s="14">
        <f t="shared" si="2"/>
        <v>0</v>
      </c>
      <c r="E31" s="43" t="str">
        <f t="shared" si="0"/>
        <v>-</v>
      </c>
      <c r="F31" s="44" t="str">
        <f t="shared" si="1"/>
        <v>-</v>
      </c>
    </row>
    <row r="32" spans="1:6" ht="33" customHeight="1" x14ac:dyDescent="0.2">
      <c r="A32" s="96" t="s">
        <v>112</v>
      </c>
      <c r="B32" s="17" t="s">
        <v>166</v>
      </c>
      <c r="C32" s="36">
        <v>27758</v>
      </c>
      <c r="D32" s="14">
        <f t="shared" si="2"/>
        <v>27758</v>
      </c>
      <c r="E32" s="43" t="str">
        <f t="shared" si="0"/>
        <v>-</v>
      </c>
      <c r="F32" s="44">
        <f t="shared" si="1"/>
        <v>1</v>
      </c>
    </row>
    <row r="33" spans="1:6" ht="42.75" customHeight="1" x14ac:dyDescent="0.2">
      <c r="A33" s="96" t="s">
        <v>223</v>
      </c>
      <c r="B33" s="17" t="s">
        <v>224</v>
      </c>
      <c r="C33" s="36">
        <v>0</v>
      </c>
      <c r="D33" s="14">
        <f t="shared" si="2"/>
        <v>0</v>
      </c>
      <c r="E33" s="43" t="str">
        <f>IF(C33=D33,"-",D33-C33)</f>
        <v>-</v>
      </c>
      <c r="F33" s="44" t="str">
        <f>IF(C33=0,"-",D33/C33)</f>
        <v>-</v>
      </c>
    </row>
    <row r="34" spans="1:6" ht="33" customHeight="1" x14ac:dyDescent="0.2">
      <c r="A34" s="96" t="s">
        <v>233</v>
      </c>
      <c r="B34" s="17" t="s">
        <v>234</v>
      </c>
      <c r="C34" s="36">
        <v>5000</v>
      </c>
      <c r="D34" s="14">
        <f t="shared" si="2"/>
        <v>5000</v>
      </c>
      <c r="E34" s="43" t="str">
        <f>IF(C34=D34,"-",D34-C34)</f>
        <v>-</v>
      </c>
      <c r="F34" s="44">
        <f>IF(C34=0,"-",D34/C34)</f>
        <v>1</v>
      </c>
    </row>
    <row r="35" spans="1:6" s="3" customFormat="1" ht="31.5" customHeight="1" x14ac:dyDescent="0.2">
      <c r="A35" s="97" t="s">
        <v>58</v>
      </c>
      <c r="B35" s="18" t="s">
        <v>59</v>
      </c>
      <c r="C35" s="37">
        <v>0</v>
      </c>
      <c r="D35" s="42">
        <f>C35</f>
        <v>0</v>
      </c>
      <c r="E35" s="8" t="str">
        <f t="shared" si="0"/>
        <v>-</v>
      </c>
      <c r="F35" s="45" t="str">
        <f t="shared" si="1"/>
        <v>-</v>
      </c>
    </row>
    <row r="36" spans="1:6" s="3" customFormat="1" ht="31.5" customHeight="1" x14ac:dyDescent="0.2">
      <c r="A36" s="97" t="s">
        <v>57</v>
      </c>
      <c r="B36" s="18" t="s">
        <v>60</v>
      </c>
      <c r="C36" s="37">
        <v>125094</v>
      </c>
      <c r="D36" s="42">
        <f>C36</f>
        <v>125094</v>
      </c>
      <c r="E36" s="8" t="str">
        <f t="shared" si="0"/>
        <v>-</v>
      </c>
      <c r="F36" s="45">
        <f t="shared" si="1"/>
        <v>1</v>
      </c>
    </row>
    <row r="37" spans="1:6" s="3" customFormat="1" ht="40.5" x14ac:dyDescent="0.2">
      <c r="A37" s="97" t="s">
        <v>235</v>
      </c>
      <c r="B37" s="18" t="s">
        <v>236</v>
      </c>
      <c r="C37" s="37">
        <v>40316</v>
      </c>
      <c r="D37" s="42">
        <f>C37</f>
        <v>40316</v>
      </c>
      <c r="E37" s="8" t="str">
        <f t="shared" si="0"/>
        <v>-</v>
      </c>
      <c r="F37" s="45">
        <f t="shared" si="1"/>
        <v>1</v>
      </c>
    </row>
    <row r="38" spans="1:6" s="3" customFormat="1" ht="42.75" customHeight="1" x14ac:dyDescent="0.2">
      <c r="A38" s="97" t="s">
        <v>157</v>
      </c>
      <c r="B38" s="18" t="s">
        <v>158</v>
      </c>
      <c r="C38" s="37">
        <f>C11+C13+C24+C30</f>
        <v>835042</v>
      </c>
      <c r="D38" s="37">
        <f>D11+D13+D24+D30</f>
        <v>835042</v>
      </c>
      <c r="E38" s="8" t="str">
        <f t="shared" si="0"/>
        <v>-</v>
      </c>
      <c r="F38" s="45">
        <f t="shared" si="1"/>
        <v>1</v>
      </c>
    </row>
    <row r="39" spans="1:6" ht="30" customHeight="1" x14ac:dyDescent="0.2">
      <c r="A39" s="151" t="s">
        <v>16</v>
      </c>
      <c r="B39" s="152" t="s">
        <v>228</v>
      </c>
      <c r="C39" s="135">
        <f>C40+C41+C42+C50+C52+C58+C59+C57</f>
        <v>31624</v>
      </c>
      <c r="D39" s="135">
        <f>D40+D41+D42+D50+D52+D58+D59+D57</f>
        <v>31624</v>
      </c>
      <c r="E39" s="131" t="str">
        <f t="shared" si="0"/>
        <v>-</v>
      </c>
      <c r="F39" s="153">
        <f t="shared" si="1"/>
        <v>1</v>
      </c>
    </row>
    <row r="40" spans="1:6" ht="28.5" customHeight="1" x14ac:dyDescent="0.2">
      <c r="A40" s="96" t="s">
        <v>17</v>
      </c>
      <c r="B40" s="20" t="s">
        <v>18</v>
      </c>
      <c r="C40" s="36">
        <v>1256</v>
      </c>
      <c r="D40" s="38">
        <f>C40</f>
        <v>1256</v>
      </c>
      <c r="E40" s="43" t="str">
        <f t="shared" si="0"/>
        <v>-</v>
      </c>
      <c r="F40" s="44">
        <f t="shared" si="1"/>
        <v>1</v>
      </c>
    </row>
    <row r="41" spans="1:6" ht="28.5" customHeight="1" x14ac:dyDescent="0.2">
      <c r="A41" s="96" t="s">
        <v>19</v>
      </c>
      <c r="B41" s="20" t="s">
        <v>20</v>
      </c>
      <c r="C41" s="36">
        <v>5267</v>
      </c>
      <c r="D41" s="38">
        <f t="shared" ref="D41:D59" si="3">C41</f>
        <v>5267</v>
      </c>
      <c r="E41" s="43" t="str">
        <f t="shared" si="0"/>
        <v>-</v>
      </c>
      <c r="F41" s="44">
        <f t="shared" si="1"/>
        <v>1</v>
      </c>
    </row>
    <row r="42" spans="1:6" ht="28.5" customHeight="1" x14ac:dyDescent="0.2">
      <c r="A42" s="96" t="s">
        <v>21</v>
      </c>
      <c r="B42" s="21" t="s">
        <v>229</v>
      </c>
      <c r="C42" s="38">
        <f>C43+C45+C46+C47+C48+C49</f>
        <v>254</v>
      </c>
      <c r="D42" s="38">
        <f>D43+D45+D46+D47+D48+D49</f>
        <v>254</v>
      </c>
      <c r="E42" s="43" t="str">
        <f t="shared" si="0"/>
        <v>-</v>
      </c>
      <c r="F42" s="44">
        <f t="shared" si="1"/>
        <v>1</v>
      </c>
    </row>
    <row r="43" spans="1:6" ht="28.5" customHeight="1" x14ac:dyDescent="0.2">
      <c r="A43" s="99" t="s">
        <v>39</v>
      </c>
      <c r="B43" s="90" t="s">
        <v>32</v>
      </c>
      <c r="C43" s="36">
        <v>11</v>
      </c>
      <c r="D43" s="38">
        <f t="shared" si="3"/>
        <v>11</v>
      </c>
      <c r="E43" s="43" t="str">
        <f t="shared" si="0"/>
        <v>-</v>
      </c>
      <c r="F43" s="44">
        <f t="shared" si="1"/>
        <v>1</v>
      </c>
    </row>
    <row r="44" spans="1:6" ht="28.5" customHeight="1" x14ac:dyDescent="0.2">
      <c r="A44" s="99" t="s">
        <v>40</v>
      </c>
      <c r="B44" s="91" t="s">
        <v>33</v>
      </c>
      <c r="C44" s="36">
        <v>11</v>
      </c>
      <c r="D44" s="38">
        <f t="shared" si="3"/>
        <v>11</v>
      </c>
      <c r="E44" s="43" t="str">
        <f t="shared" si="0"/>
        <v>-</v>
      </c>
      <c r="F44" s="44">
        <f t="shared" si="1"/>
        <v>1</v>
      </c>
    </row>
    <row r="45" spans="1:6" ht="28.5" customHeight="1" x14ac:dyDescent="0.2">
      <c r="A45" s="99" t="s">
        <v>41</v>
      </c>
      <c r="B45" s="90" t="s">
        <v>34</v>
      </c>
      <c r="C45" s="36">
        <v>18</v>
      </c>
      <c r="D45" s="38">
        <f t="shared" si="3"/>
        <v>18</v>
      </c>
      <c r="E45" s="43" t="str">
        <f t="shared" si="0"/>
        <v>-</v>
      </c>
      <c r="F45" s="44">
        <f t="shared" si="1"/>
        <v>1</v>
      </c>
    </row>
    <row r="46" spans="1:6" ht="28.5" customHeight="1" x14ac:dyDescent="0.2">
      <c r="A46" s="99" t="s">
        <v>42</v>
      </c>
      <c r="B46" s="90" t="s">
        <v>35</v>
      </c>
      <c r="C46" s="36">
        <v>0</v>
      </c>
      <c r="D46" s="38">
        <f t="shared" si="3"/>
        <v>0</v>
      </c>
      <c r="E46" s="43" t="str">
        <f t="shared" si="0"/>
        <v>-</v>
      </c>
      <c r="F46" s="44" t="str">
        <f t="shared" si="1"/>
        <v>-</v>
      </c>
    </row>
    <row r="47" spans="1:6" ht="28.5" customHeight="1" x14ac:dyDescent="0.2">
      <c r="A47" s="99" t="s">
        <v>43</v>
      </c>
      <c r="B47" s="90" t="s">
        <v>36</v>
      </c>
      <c r="C47" s="36">
        <v>0</v>
      </c>
      <c r="D47" s="38">
        <f t="shared" si="3"/>
        <v>0</v>
      </c>
      <c r="E47" s="43" t="str">
        <f t="shared" si="0"/>
        <v>-</v>
      </c>
      <c r="F47" s="44" t="str">
        <f t="shared" si="1"/>
        <v>-</v>
      </c>
    </row>
    <row r="48" spans="1:6" ht="28.5" customHeight="1" x14ac:dyDescent="0.2">
      <c r="A48" s="99" t="s">
        <v>44</v>
      </c>
      <c r="B48" s="90" t="s">
        <v>37</v>
      </c>
      <c r="C48" s="36">
        <v>221</v>
      </c>
      <c r="D48" s="38">
        <f t="shared" si="3"/>
        <v>221</v>
      </c>
      <c r="E48" s="43" t="str">
        <f t="shared" si="0"/>
        <v>-</v>
      </c>
      <c r="F48" s="44">
        <f t="shared" si="1"/>
        <v>1</v>
      </c>
    </row>
    <row r="49" spans="1:6" ht="28.5" customHeight="1" x14ac:dyDescent="0.2">
      <c r="A49" s="99" t="s">
        <v>45</v>
      </c>
      <c r="B49" s="90" t="s">
        <v>38</v>
      </c>
      <c r="C49" s="36">
        <v>4</v>
      </c>
      <c r="D49" s="38">
        <f t="shared" si="3"/>
        <v>4</v>
      </c>
      <c r="E49" s="43" t="str">
        <f t="shared" si="0"/>
        <v>-</v>
      </c>
      <c r="F49" s="44">
        <f t="shared" si="1"/>
        <v>1</v>
      </c>
    </row>
    <row r="50" spans="1:6" ht="28.5" customHeight="1" x14ac:dyDescent="0.2">
      <c r="A50" s="96" t="s">
        <v>22</v>
      </c>
      <c r="B50" s="20" t="s">
        <v>159</v>
      </c>
      <c r="C50" s="36">
        <v>18720</v>
      </c>
      <c r="D50" s="38">
        <f t="shared" si="3"/>
        <v>18720</v>
      </c>
      <c r="E50" s="43" t="str">
        <f t="shared" si="0"/>
        <v>-</v>
      </c>
      <c r="F50" s="44">
        <f t="shared" si="1"/>
        <v>1</v>
      </c>
    </row>
    <row r="51" spans="1:6" ht="28.5" customHeight="1" x14ac:dyDescent="0.2">
      <c r="A51" s="99" t="s">
        <v>160</v>
      </c>
      <c r="B51" s="90" t="s">
        <v>161</v>
      </c>
      <c r="C51" s="36">
        <v>90</v>
      </c>
      <c r="D51" s="38">
        <f t="shared" si="3"/>
        <v>90</v>
      </c>
      <c r="E51" s="43" t="str">
        <f t="shared" si="0"/>
        <v>-</v>
      </c>
      <c r="F51" s="44">
        <f t="shared" si="1"/>
        <v>1</v>
      </c>
    </row>
    <row r="52" spans="1:6" ht="28.5" customHeight="1" x14ac:dyDescent="0.2">
      <c r="A52" s="96" t="s">
        <v>23</v>
      </c>
      <c r="B52" s="21" t="s">
        <v>227</v>
      </c>
      <c r="C52" s="34">
        <f>C53+C54+C55+C56</f>
        <v>4207</v>
      </c>
      <c r="D52" s="34">
        <f>D53+D54+D55+D56</f>
        <v>4207</v>
      </c>
      <c r="E52" s="43" t="str">
        <f t="shared" si="0"/>
        <v>-</v>
      </c>
      <c r="F52" s="44">
        <f t="shared" si="1"/>
        <v>1</v>
      </c>
    </row>
    <row r="53" spans="1:6" ht="28.5" customHeight="1" x14ac:dyDescent="0.2">
      <c r="A53" s="99" t="s">
        <v>50</v>
      </c>
      <c r="B53" s="90" t="s">
        <v>46</v>
      </c>
      <c r="C53" s="36">
        <v>3213</v>
      </c>
      <c r="D53" s="38">
        <f t="shared" si="3"/>
        <v>3213</v>
      </c>
      <c r="E53" s="43" t="str">
        <f t="shared" si="0"/>
        <v>-</v>
      </c>
      <c r="F53" s="44">
        <f t="shared" si="1"/>
        <v>1</v>
      </c>
    </row>
    <row r="54" spans="1:6" ht="28.5" customHeight="1" x14ac:dyDescent="0.2">
      <c r="A54" s="99" t="s">
        <v>51</v>
      </c>
      <c r="B54" s="90" t="s">
        <v>47</v>
      </c>
      <c r="C54" s="36">
        <v>459</v>
      </c>
      <c r="D54" s="38">
        <f t="shared" si="3"/>
        <v>459</v>
      </c>
      <c r="E54" s="43" t="str">
        <f t="shared" si="0"/>
        <v>-</v>
      </c>
      <c r="F54" s="44">
        <f t="shared" si="1"/>
        <v>1</v>
      </c>
    </row>
    <row r="55" spans="1:6" ht="28.5" customHeight="1" x14ac:dyDescent="0.2">
      <c r="A55" s="99" t="s">
        <v>52</v>
      </c>
      <c r="B55" s="90" t="s">
        <v>48</v>
      </c>
      <c r="C55" s="36">
        <v>0</v>
      </c>
      <c r="D55" s="38">
        <f t="shared" si="3"/>
        <v>0</v>
      </c>
      <c r="E55" s="43" t="str">
        <f t="shared" si="0"/>
        <v>-</v>
      </c>
      <c r="F55" s="44" t="str">
        <f t="shared" si="1"/>
        <v>-</v>
      </c>
    </row>
    <row r="56" spans="1:6" ht="28.5" customHeight="1" x14ac:dyDescent="0.2">
      <c r="A56" s="99" t="s">
        <v>53</v>
      </c>
      <c r="B56" s="90" t="s">
        <v>49</v>
      </c>
      <c r="C56" s="36">
        <v>535</v>
      </c>
      <c r="D56" s="38">
        <f t="shared" si="3"/>
        <v>535</v>
      </c>
      <c r="E56" s="43" t="str">
        <f t="shared" si="0"/>
        <v>-</v>
      </c>
      <c r="F56" s="44">
        <f t="shared" si="1"/>
        <v>1</v>
      </c>
    </row>
    <row r="57" spans="1:6" ht="28.5" customHeight="1" x14ac:dyDescent="0.2">
      <c r="A57" s="96" t="s">
        <v>24</v>
      </c>
      <c r="B57" s="20" t="s">
        <v>25</v>
      </c>
      <c r="C57" s="36">
        <v>0</v>
      </c>
      <c r="D57" s="38">
        <f t="shared" si="3"/>
        <v>0</v>
      </c>
      <c r="E57" s="43" t="str">
        <f t="shared" si="0"/>
        <v>-</v>
      </c>
      <c r="F57" s="44" t="str">
        <f t="shared" si="1"/>
        <v>-</v>
      </c>
    </row>
    <row r="58" spans="1:6" ht="28.5" customHeight="1" x14ac:dyDescent="0.2">
      <c r="A58" s="96" t="s">
        <v>26</v>
      </c>
      <c r="B58" s="20" t="s">
        <v>162</v>
      </c>
      <c r="C58" s="36">
        <v>1630</v>
      </c>
      <c r="D58" s="38">
        <f t="shared" si="3"/>
        <v>1630</v>
      </c>
      <c r="E58" s="43" t="str">
        <f t="shared" si="0"/>
        <v>-</v>
      </c>
      <c r="F58" s="46">
        <f t="shared" si="1"/>
        <v>1</v>
      </c>
    </row>
    <row r="59" spans="1:6" ht="28.5" customHeight="1" x14ac:dyDescent="0.2">
      <c r="A59" s="96" t="s">
        <v>27</v>
      </c>
      <c r="B59" s="20" t="s">
        <v>28</v>
      </c>
      <c r="C59" s="36">
        <v>290</v>
      </c>
      <c r="D59" s="38">
        <f t="shared" si="3"/>
        <v>290</v>
      </c>
      <c r="E59" s="43" t="str">
        <f t="shared" si="0"/>
        <v>-</v>
      </c>
      <c r="F59" s="44">
        <f t="shared" si="1"/>
        <v>1</v>
      </c>
    </row>
    <row r="60" spans="1:6" ht="30" customHeight="1" x14ac:dyDescent="0.2">
      <c r="A60" s="142" t="s">
        <v>135</v>
      </c>
      <c r="B60" s="143" t="s">
        <v>163</v>
      </c>
      <c r="C60" s="154">
        <f>C61+C62+C63+C64</f>
        <v>17000</v>
      </c>
      <c r="D60" s="154">
        <f>D61+D62+D63+D64</f>
        <v>17000</v>
      </c>
      <c r="E60" s="131" t="str">
        <f t="shared" si="0"/>
        <v>-</v>
      </c>
      <c r="F60" s="155">
        <f t="shared" si="1"/>
        <v>1</v>
      </c>
    </row>
    <row r="61" spans="1:6" ht="42" customHeight="1" x14ac:dyDescent="0.2">
      <c r="A61" s="96" t="s">
        <v>101</v>
      </c>
      <c r="B61" s="20" t="s">
        <v>115</v>
      </c>
      <c r="C61" s="36">
        <v>0</v>
      </c>
      <c r="D61" s="38">
        <f>C61</f>
        <v>0</v>
      </c>
      <c r="E61" s="34" t="str">
        <f t="shared" si="0"/>
        <v>-</v>
      </c>
      <c r="F61" s="44" t="str">
        <f t="shared" si="1"/>
        <v>-</v>
      </c>
    </row>
    <row r="62" spans="1:6" ht="31.5" customHeight="1" x14ac:dyDescent="0.2">
      <c r="A62" s="96" t="s">
        <v>30</v>
      </c>
      <c r="B62" s="20" t="s">
        <v>55</v>
      </c>
      <c r="C62" s="36">
        <v>15000</v>
      </c>
      <c r="D62" s="38">
        <f>C62</f>
        <v>15000</v>
      </c>
      <c r="E62" s="34" t="str">
        <f t="shared" si="0"/>
        <v>-</v>
      </c>
      <c r="F62" s="44">
        <f t="shared" si="1"/>
        <v>1</v>
      </c>
    </row>
    <row r="63" spans="1:6" ht="31.5" customHeight="1" x14ac:dyDescent="0.2">
      <c r="A63" s="96" t="s">
        <v>31</v>
      </c>
      <c r="B63" s="20" t="s">
        <v>103</v>
      </c>
      <c r="C63" s="36">
        <v>0</v>
      </c>
      <c r="D63" s="38">
        <f>C63</f>
        <v>0</v>
      </c>
      <c r="E63" s="34" t="str">
        <f t="shared" si="0"/>
        <v>-</v>
      </c>
      <c r="F63" s="44" t="str">
        <f t="shared" si="1"/>
        <v>-</v>
      </c>
    </row>
    <row r="64" spans="1:6" ht="31.5" customHeight="1" x14ac:dyDescent="0.2">
      <c r="A64" s="96" t="s">
        <v>102</v>
      </c>
      <c r="B64" s="20" t="s">
        <v>104</v>
      </c>
      <c r="C64" s="36">
        <v>2000</v>
      </c>
      <c r="D64" s="38">
        <f>C64</f>
        <v>2000</v>
      </c>
      <c r="E64" s="34" t="str">
        <f t="shared" si="0"/>
        <v>-</v>
      </c>
      <c r="F64" s="44">
        <f t="shared" si="1"/>
        <v>1</v>
      </c>
    </row>
    <row r="65" spans="1:6" ht="32.25" customHeight="1" x14ac:dyDescent="0.2">
      <c r="A65" s="142" t="s">
        <v>137</v>
      </c>
      <c r="B65" s="143" t="s">
        <v>116</v>
      </c>
      <c r="C65" s="154">
        <v>5000</v>
      </c>
      <c r="D65" s="154">
        <f>C65</f>
        <v>5000</v>
      </c>
      <c r="E65" s="131" t="str">
        <f t="shared" si="0"/>
        <v>-</v>
      </c>
      <c r="F65" s="155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1" ySplit="6" topLeftCell="B10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5.7109375" style="2" customWidth="1"/>
    <col min="4" max="4" width="26.85546875" style="2" customWidth="1"/>
    <col min="5" max="5" width="25.140625" style="2" customWidth="1"/>
    <col min="6" max="6" width="20.7109375" style="2" customWidth="1"/>
    <col min="7" max="16384" width="9.140625" style="2"/>
  </cols>
  <sheetData>
    <row r="1" spans="1:6" s="24" customFormat="1" ht="46.5" customHeight="1" x14ac:dyDescent="0.2">
      <c r="A1" s="160" t="str">
        <f>NFZ!A1</f>
        <v>ZMIANA PLANU FINANSOWEGO NARODOWEGO FUNDUSZU ZDROWIA NA 2017 ROK Z DNIA 18 LIPCA 2017 R.</v>
      </c>
      <c r="B1" s="160"/>
      <c r="C1" s="160"/>
      <c r="D1" s="160"/>
      <c r="E1" s="160"/>
      <c r="F1" s="160"/>
    </row>
    <row r="2" spans="1:6" s="26" customFormat="1" ht="33" customHeight="1" x14ac:dyDescent="0.2">
      <c r="A2" s="115" t="s">
        <v>66</v>
      </c>
      <c r="B2" s="115"/>
      <c r="C2" s="116"/>
    </row>
    <row r="3" spans="1:6" ht="33" customHeight="1" x14ac:dyDescent="0.25">
      <c r="A3" s="5"/>
      <c r="B3" s="6"/>
      <c r="C3" s="40"/>
      <c r="D3" s="40"/>
      <c r="E3" s="40" t="s">
        <v>141</v>
      </c>
      <c r="F3" s="7"/>
    </row>
    <row r="4" spans="1:6" s="117" customFormat="1" ht="65.099999999999994" customHeight="1" x14ac:dyDescent="0.2">
      <c r="A4" s="124" t="s">
        <v>118</v>
      </c>
      <c r="B4" s="124" t="s">
        <v>54</v>
      </c>
      <c r="C4" s="125" t="s">
        <v>230</v>
      </c>
      <c r="D4" s="125" t="s">
        <v>171</v>
      </c>
      <c r="E4" s="126" t="s">
        <v>172</v>
      </c>
      <c r="F4" s="126" t="s">
        <v>173</v>
      </c>
    </row>
    <row r="5" spans="1:6" s="118" customFormat="1" ht="14.25" x14ac:dyDescent="0.2">
      <c r="A5" s="127">
        <v>1</v>
      </c>
      <c r="B5" s="128">
        <v>2</v>
      </c>
      <c r="C5" s="127">
        <v>3</v>
      </c>
      <c r="D5" s="128">
        <v>4</v>
      </c>
      <c r="E5" s="127">
        <v>5</v>
      </c>
      <c r="F5" s="128">
        <v>6</v>
      </c>
    </row>
    <row r="6" spans="1:6" ht="30" customHeight="1" x14ac:dyDescent="0.2">
      <c r="A6" s="101" t="s">
        <v>0</v>
      </c>
      <c r="B6" s="73" t="s">
        <v>232</v>
      </c>
      <c r="C6" s="150">
        <f>C7+C8+C9+C14+C15+C16+C17+C18+C19+C20+C21+C22+C23+C24+C28+C29+C31+C32+C33+C34</f>
        <v>6236852</v>
      </c>
      <c r="D6" s="150">
        <f>D7+D8+D9+D14+D15+D16+D17+D18+D19+D20+D21+D22+D23+D24+D28+D29+D31+D32+D33+D34</f>
        <v>6360931</v>
      </c>
      <c r="E6" s="131">
        <f>IF(C6=D6,"-",D6-C6)</f>
        <v>124079</v>
      </c>
      <c r="F6" s="148">
        <f>IF(C6=0,"-",D6/C6)</f>
        <v>1.0199</v>
      </c>
    </row>
    <row r="7" spans="1:6" ht="33" customHeight="1" x14ac:dyDescent="0.2">
      <c r="A7" s="93" t="s">
        <v>1</v>
      </c>
      <c r="B7" s="15" t="s">
        <v>119</v>
      </c>
      <c r="C7" s="36">
        <v>871000</v>
      </c>
      <c r="D7" s="14">
        <f>C7+12000</f>
        <v>883000</v>
      </c>
      <c r="E7" s="43">
        <f t="shared" ref="E7:E65" si="0">IF(C7=D7,"-",D7-C7)</f>
        <v>12000</v>
      </c>
      <c r="F7" s="44">
        <f t="shared" ref="F7:F65" si="1">IF(C7=0,"-",D7/C7)</f>
        <v>1.0138</v>
      </c>
    </row>
    <row r="8" spans="1:6" ht="33" customHeight="1" x14ac:dyDescent="0.2">
      <c r="A8" s="93" t="s">
        <v>2</v>
      </c>
      <c r="B8" s="15" t="s">
        <v>120</v>
      </c>
      <c r="C8" s="36">
        <v>517413</v>
      </c>
      <c r="D8" s="14">
        <f>C8</f>
        <v>517413</v>
      </c>
      <c r="E8" s="43" t="str">
        <f t="shared" si="0"/>
        <v>-</v>
      </c>
      <c r="F8" s="44">
        <f t="shared" si="1"/>
        <v>1</v>
      </c>
    </row>
    <row r="9" spans="1:6" ht="33" customHeight="1" x14ac:dyDescent="0.2">
      <c r="A9" s="93" t="s">
        <v>3</v>
      </c>
      <c r="B9" s="15" t="s">
        <v>117</v>
      </c>
      <c r="C9" s="36">
        <v>3002187</v>
      </c>
      <c r="D9" s="14">
        <f>C9+89079-23500-5000</f>
        <v>3062766</v>
      </c>
      <c r="E9" s="43">
        <f t="shared" si="0"/>
        <v>60579</v>
      </c>
      <c r="F9" s="44">
        <f t="shared" si="1"/>
        <v>1.0202</v>
      </c>
    </row>
    <row r="10" spans="1:6" ht="31.5" customHeight="1" x14ac:dyDescent="0.2">
      <c r="A10" s="94" t="s">
        <v>56</v>
      </c>
      <c r="B10" s="89" t="s">
        <v>142</v>
      </c>
      <c r="C10" s="36">
        <v>306369</v>
      </c>
      <c r="D10" s="14">
        <f t="shared" ref="D10:D13" si="2">C10</f>
        <v>306369</v>
      </c>
      <c r="E10" s="43" t="str">
        <f t="shared" si="0"/>
        <v>-</v>
      </c>
      <c r="F10" s="44">
        <f t="shared" si="1"/>
        <v>1</v>
      </c>
    </row>
    <row r="11" spans="1:6" ht="31.5" customHeight="1" x14ac:dyDescent="0.2">
      <c r="A11" s="94" t="s">
        <v>143</v>
      </c>
      <c r="B11" s="89" t="s">
        <v>146</v>
      </c>
      <c r="C11" s="36">
        <v>276964</v>
      </c>
      <c r="D11" s="14">
        <f t="shared" si="2"/>
        <v>276964</v>
      </c>
      <c r="E11" s="43" t="str">
        <f t="shared" si="0"/>
        <v>-</v>
      </c>
      <c r="F11" s="44">
        <f t="shared" si="1"/>
        <v>1</v>
      </c>
    </row>
    <row r="12" spans="1:6" ht="31.5" customHeight="1" x14ac:dyDescent="0.2">
      <c r="A12" s="94" t="s">
        <v>144</v>
      </c>
      <c r="B12" s="89" t="s">
        <v>147</v>
      </c>
      <c r="C12" s="36">
        <v>107312</v>
      </c>
      <c r="D12" s="14">
        <f t="shared" si="2"/>
        <v>107312</v>
      </c>
      <c r="E12" s="43" t="str">
        <f t="shared" si="0"/>
        <v>-</v>
      </c>
      <c r="F12" s="44">
        <f t="shared" si="1"/>
        <v>1</v>
      </c>
    </row>
    <row r="13" spans="1:6" ht="31.5" customHeight="1" x14ac:dyDescent="0.2">
      <c r="A13" s="94" t="s">
        <v>145</v>
      </c>
      <c r="B13" s="89" t="s">
        <v>148</v>
      </c>
      <c r="C13" s="36">
        <v>48942</v>
      </c>
      <c r="D13" s="14">
        <f t="shared" si="2"/>
        <v>48942</v>
      </c>
      <c r="E13" s="43" t="str">
        <f t="shared" si="0"/>
        <v>-</v>
      </c>
      <c r="F13" s="44">
        <f t="shared" si="1"/>
        <v>1</v>
      </c>
    </row>
    <row r="14" spans="1:6" ht="33" customHeight="1" x14ac:dyDescent="0.2">
      <c r="A14" s="93" t="s">
        <v>4</v>
      </c>
      <c r="B14" s="15" t="s">
        <v>125</v>
      </c>
      <c r="C14" s="36">
        <v>199871</v>
      </c>
      <c r="D14" s="14">
        <f t="shared" ref="D14:D34" si="3">C14</f>
        <v>199871</v>
      </c>
      <c r="E14" s="43" t="str">
        <f t="shared" si="0"/>
        <v>-</v>
      </c>
      <c r="F14" s="44">
        <f t="shared" si="1"/>
        <v>1</v>
      </c>
    </row>
    <row r="15" spans="1:6" ht="33" customHeight="1" x14ac:dyDescent="0.2">
      <c r="A15" s="93" t="s">
        <v>5</v>
      </c>
      <c r="B15" s="15" t="s">
        <v>121</v>
      </c>
      <c r="C15" s="36">
        <v>203462</v>
      </c>
      <c r="D15" s="14">
        <f t="shared" si="3"/>
        <v>203462</v>
      </c>
      <c r="E15" s="43" t="str">
        <f t="shared" si="0"/>
        <v>-</v>
      </c>
      <c r="F15" s="44">
        <f t="shared" si="1"/>
        <v>1</v>
      </c>
    </row>
    <row r="16" spans="1:6" ht="33" customHeight="1" x14ac:dyDescent="0.2">
      <c r="A16" s="93" t="s">
        <v>6</v>
      </c>
      <c r="B16" s="15" t="s">
        <v>127</v>
      </c>
      <c r="C16" s="36">
        <v>152959</v>
      </c>
      <c r="D16" s="14">
        <f t="shared" si="3"/>
        <v>152959</v>
      </c>
      <c r="E16" s="43" t="str">
        <f t="shared" si="0"/>
        <v>-</v>
      </c>
      <c r="F16" s="44">
        <f t="shared" si="1"/>
        <v>1</v>
      </c>
    </row>
    <row r="17" spans="1:6" ht="33" customHeight="1" x14ac:dyDescent="0.2">
      <c r="A17" s="93" t="s">
        <v>7</v>
      </c>
      <c r="B17" s="15" t="s">
        <v>126</v>
      </c>
      <c r="C17" s="36">
        <v>71484</v>
      </c>
      <c r="D17" s="14">
        <f t="shared" si="3"/>
        <v>71484</v>
      </c>
      <c r="E17" s="43" t="str">
        <f t="shared" si="0"/>
        <v>-</v>
      </c>
      <c r="F17" s="44">
        <f t="shared" si="1"/>
        <v>1</v>
      </c>
    </row>
    <row r="18" spans="1:6" ht="33" customHeight="1" x14ac:dyDescent="0.2">
      <c r="A18" s="93" t="s">
        <v>8</v>
      </c>
      <c r="B18" s="15" t="s">
        <v>122</v>
      </c>
      <c r="C18" s="36">
        <v>195517</v>
      </c>
      <c r="D18" s="14">
        <f t="shared" si="3"/>
        <v>195517</v>
      </c>
      <c r="E18" s="43" t="str">
        <f t="shared" si="0"/>
        <v>-</v>
      </c>
      <c r="F18" s="44">
        <f t="shared" si="1"/>
        <v>1</v>
      </c>
    </row>
    <row r="19" spans="1:6" ht="33" customHeight="1" x14ac:dyDescent="0.2">
      <c r="A19" s="93" t="s">
        <v>9</v>
      </c>
      <c r="B19" s="15" t="s">
        <v>123</v>
      </c>
      <c r="C19" s="36">
        <v>52380</v>
      </c>
      <c r="D19" s="14">
        <f t="shared" si="3"/>
        <v>52380</v>
      </c>
      <c r="E19" s="43" t="str">
        <f t="shared" si="0"/>
        <v>-</v>
      </c>
      <c r="F19" s="44">
        <f t="shared" si="1"/>
        <v>1</v>
      </c>
    </row>
    <row r="20" spans="1:6" ht="33" customHeight="1" x14ac:dyDescent="0.2">
      <c r="A20" s="93" t="s">
        <v>10</v>
      </c>
      <c r="B20" s="15" t="s">
        <v>128</v>
      </c>
      <c r="C20" s="36">
        <v>1750</v>
      </c>
      <c r="D20" s="14">
        <f t="shared" si="3"/>
        <v>1750</v>
      </c>
      <c r="E20" s="43" t="str">
        <f t="shared" si="0"/>
        <v>-</v>
      </c>
      <c r="F20" s="44">
        <f t="shared" si="1"/>
        <v>1</v>
      </c>
    </row>
    <row r="21" spans="1:6" ht="46.5" customHeight="1" x14ac:dyDescent="0.2">
      <c r="A21" s="93" t="s">
        <v>11</v>
      </c>
      <c r="B21" s="15" t="s">
        <v>124</v>
      </c>
      <c r="C21" s="36">
        <v>15077</v>
      </c>
      <c r="D21" s="14">
        <f t="shared" si="3"/>
        <v>15077</v>
      </c>
      <c r="E21" s="43" t="str">
        <f t="shared" si="0"/>
        <v>-</v>
      </c>
      <c r="F21" s="44">
        <f t="shared" si="1"/>
        <v>1</v>
      </c>
    </row>
    <row r="22" spans="1:6" ht="33" customHeight="1" x14ac:dyDescent="0.2">
      <c r="A22" s="93" t="s">
        <v>12</v>
      </c>
      <c r="B22" s="15" t="s">
        <v>165</v>
      </c>
      <c r="C22" s="36">
        <v>158477</v>
      </c>
      <c r="D22" s="14">
        <f t="shared" si="3"/>
        <v>158477</v>
      </c>
      <c r="E22" s="43" t="str">
        <f t="shared" si="0"/>
        <v>-</v>
      </c>
      <c r="F22" s="44">
        <f t="shared" si="1"/>
        <v>1</v>
      </c>
    </row>
    <row r="23" spans="1:6" ht="33" customHeight="1" x14ac:dyDescent="0.2">
      <c r="A23" s="93" t="s">
        <v>13</v>
      </c>
      <c r="B23" s="15" t="s">
        <v>149</v>
      </c>
      <c r="C23" s="36">
        <v>76000</v>
      </c>
      <c r="D23" s="14">
        <f>C23+3000</f>
        <v>79000</v>
      </c>
      <c r="E23" s="43">
        <f t="shared" si="0"/>
        <v>3000</v>
      </c>
      <c r="F23" s="44">
        <f t="shared" si="1"/>
        <v>1.0395000000000001</v>
      </c>
    </row>
    <row r="24" spans="1:6" ht="33" customHeight="1" x14ac:dyDescent="0.2">
      <c r="A24" s="95" t="s">
        <v>14</v>
      </c>
      <c r="B24" s="35" t="s">
        <v>222</v>
      </c>
      <c r="C24" s="36">
        <v>685973</v>
      </c>
      <c r="D24" s="36">
        <f>SUM(D25:D27)</f>
        <v>685973</v>
      </c>
      <c r="E24" s="43" t="str">
        <f t="shared" si="0"/>
        <v>-</v>
      </c>
      <c r="F24" s="44">
        <f t="shared" si="1"/>
        <v>1</v>
      </c>
    </row>
    <row r="25" spans="1:6" ht="37.5" x14ac:dyDescent="0.2">
      <c r="A25" s="94" t="s">
        <v>129</v>
      </c>
      <c r="B25" s="89" t="s">
        <v>151</v>
      </c>
      <c r="C25" s="36">
        <v>681973</v>
      </c>
      <c r="D25" s="14">
        <f>C25</f>
        <v>681973</v>
      </c>
      <c r="E25" s="43" t="str">
        <f t="shared" si="0"/>
        <v>-</v>
      </c>
      <c r="F25" s="44">
        <f t="shared" si="1"/>
        <v>1</v>
      </c>
    </row>
    <row r="26" spans="1:6" ht="31.5" customHeight="1" x14ac:dyDescent="0.2">
      <c r="A26" s="94" t="s">
        <v>150</v>
      </c>
      <c r="B26" s="89" t="s">
        <v>153</v>
      </c>
      <c r="C26" s="36">
        <v>3000</v>
      </c>
      <c r="D26" s="14">
        <f t="shared" si="3"/>
        <v>3000</v>
      </c>
      <c r="E26" s="43" t="str">
        <f t="shared" si="0"/>
        <v>-</v>
      </c>
      <c r="F26" s="44">
        <f t="shared" si="1"/>
        <v>1</v>
      </c>
    </row>
    <row r="27" spans="1:6" ht="37.5" x14ac:dyDescent="0.2">
      <c r="A27" s="94" t="s">
        <v>154</v>
      </c>
      <c r="B27" s="89" t="s">
        <v>152</v>
      </c>
      <c r="C27" s="36">
        <v>1000</v>
      </c>
      <c r="D27" s="14">
        <f t="shared" si="3"/>
        <v>1000</v>
      </c>
      <c r="E27" s="43" t="str">
        <f t="shared" si="0"/>
        <v>-</v>
      </c>
      <c r="F27" s="44">
        <f t="shared" si="1"/>
        <v>1</v>
      </c>
    </row>
    <row r="28" spans="1:6" ht="33" customHeight="1" x14ac:dyDescent="0.2">
      <c r="A28" s="96" t="s">
        <v>15</v>
      </c>
      <c r="B28" s="16" t="s">
        <v>113</v>
      </c>
      <c r="C28" s="36">
        <v>0</v>
      </c>
      <c r="D28" s="14">
        <f t="shared" si="3"/>
        <v>0</v>
      </c>
      <c r="E28" s="43" t="str">
        <f t="shared" si="0"/>
        <v>-</v>
      </c>
      <c r="F28" s="44" t="str">
        <f t="shared" si="1"/>
        <v>-</v>
      </c>
    </row>
    <row r="29" spans="1:6" ht="33" customHeight="1" x14ac:dyDescent="0.2">
      <c r="A29" s="96" t="s">
        <v>110</v>
      </c>
      <c r="B29" s="17" t="s">
        <v>155</v>
      </c>
      <c r="C29" s="36">
        <v>0</v>
      </c>
      <c r="D29" s="14">
        <f>C29+48500</f>
        <v>48500</v>
      </c>
      <c r="E29" s="43">
        <f t="shared" si="0"/>
        <v>48500</v>
      </c>
      <c r="F29" s="44" t="str">
        <f t="shared" si="1"/>
        <v>-</v>
      </c>
    </row>
    <row r="30" spans="1:6" ht="31.5" customHeight="1" x14ac:dyDescent="0.2">
      <c r="A30" s="94" t="s">
        <v>156</v>
      </c>
      <c r="B30" s="89" t="s">
        <v>167</v>
      </c>
      <c r="C30" s="36">
        <v>0</v>
      </c>
      <c r="D30" s="14">
        <f t="shared" si="3"/>
        <v>0</v>
      </c>
      <c r="E30" s="43" t="str">
        <f t="shared" si="0"/>
        <v>-</v>
      </c>
      <c r="F30" s="44" t="str">
        <f t="shared" si="1"/>
        <v>-</v>
      </c>
    </row>
    <row r="31" spans="1:6" ht="33" customHeight="1" x14ac:dyDescent="0.2">
      <c r="A31" s="96" t="s">
        <v>111</v>
      </c>
      <c r="B31" s="17" t="s">
        <v>114</v>
      </c>
      <c r="C31" s="36">
        <v>0</v>
      </c>
      <c r="D31" s="14">
        <f t="shared" si="3"/>
        <v>0</v>
      </c>
      <c r="E31" s="43" t="str">
        <f t="shared" si="0"/>
        <v>-</v>
      </c>
      <c r="F31" s="44" t="str">
        <f t="shared" si="1"/>
        <v>-</v>
      </c>
    </row>
    <row r="32" spans="1:6" ht="33" customHeight="1" x14ac:dyDescent="0.2">
      <c r="A32" s="96" t="s">
        <v>112</v>
      </c>
      <c r="B32" s="17" t="s">
        <v>166</v>
      </c>
      <c r="C32" s="36">
        <v>30054</v>
      </c>
      <c r="D32" s="14">
        <f t="shared" si="3"/>
        <v>30054</v>
      </c>
      <c r="E32" s="43" t="str">
        <f t="shared" si="0"/>
        <v>-</v>
      </c>
      <c r="F32" s="44">
        <f t="shared" si="1"/>
        <v>1</v>
      </c>
    </row>
    <row r="33" spans="1:6" ht="42.75" customHeight="1" x14ac:dyDescent="0.2">
      <c r="A33" s="96" t="s">
        <v>223</v>
      </c>
      <c r="B33" s="17" t="s">
        <v>224</v>
      </c>
      <c r="C33" s="36">
        <v>0</v>
      </c>
      <c r="D33" s="14">
        <f t="shared" si="3"/>
        <v>0</v>
      </c>
      <c r="E33" s="43" t="str">
        <f>IF(C33=D33,"-",D33-C33)</f>
        <v>-</v>
      </c>
      <c r="F33" s="44" t="str">
        <f>IF(C33=0,"-",D33/C33)</f>
        <v>-</v>
      </c>
    </row>
    <row r="34" spans="1:6" ht="33" customHeight="1" x14ac:dyDescent="0.2">
      <c r="A34" s="96" t="s">
        <v>233</v>
      </c>
      <c r="B34" s="17" t="s">
        <v>234</v>
      </c>
      <c r="C34" s="36">
        <v>3248</v>
      </c>
      <c r="D34" s="14">
        <f t="shared" si="3"/>
        <v>3248</v>
      </c>
      <c r="E34" s="43" t="str">
        <f>IF(C34=D34,"-",D34-C34)</f>
        <v>-</v>
      </c>
      <c r="F34" s="44">
        <f>IF(C34=0,"-",D34/C34)</f>
        <v>1</v>
      </c>
    </row>
    <row r="35" spans="1:6" s="3" customFormat="1" ht="31.5" customHeight="1" x14ac:dyDescent="0.2">
      <c r="A35" s="97" t="s">
        <v>58</v>
      </c>
      <c r="B35" s="18" t="s">
        <v>59</v>
      </c>
      <c r="C35" s="37">
        <v>0</v>
      </c>
      <c r="D35" s="42">
        <f>C35</f>
        <v>0</v>
      </c>
      <c r="E35" s="8" t="str">
        <f t="shared" si="0"/>
        <v>-</v>
      </c>
      <c r="F35" s="45" t="str">
        <f t="shared" si="1"/>
        <v>-</v>
      </c>
    </row>
    <row r="36" spans="1:6" s="3" customFormat="1" ht="31.5" customHeight="1" x14ac:dyDescent="0.2">
      <c r="A36" s="97" t="s">
        <v>57</v>
      </c>
      <c r="B36" s="18" t="s">
        <v>60</v>
      </c>
      <c r="C36" s="37">
        <v>154271</v>
      </c>
      <c r="D36" s="42">
        <f>C36</f>
        <v>154271</v>
      </c>
      <c r="E36" s="8" t="str">
        <f t="shared" si="0"/>
        <v>-</v>
      </c>
      <c r="F36" s="45">
        <f t="shared" si="1"/>
        <v>1</v>
      </c>
    </row>
    <row r="37" spans="1:6" s="3" customFormat="1" ht="40.5" x14ac:dyDescent="0.2">
      <c r="A37" s="97" t="s">
        <v>235</v>
      </c>
      <c r="B37" s="18" t="s">
        <v>236</v>
      </c>
      <c r="C37" s="37">
        <v>50250</v>
      </c>
      <c r="D37" s="42">
        <f>C37</f>
        <v>50250</v>
      </c>
      <c r="E37" s="8" t="str">
        <f t="shared" si="0"/>
        <v>-</v>
      </c>
      <c r="F37" s="45">
        <f t="shared" si="1"/>
        <v>1</v>
      </c>
    </row>
    <row r="38" spans="1:6" s="3" customFormat="1" ht="42.75" customHeight="1" x14ac:dyDescent="0.2">
      <c r="A38" s="97" t="s">
        <v>157</v>
      </c>
      <c r="B38" s="18" t="s">
        <v>158</v>
      </c>
      <c r="C38" s="37">
        <f>C11+C13+C24+C30</f>
        <v>1011879</v>
      </c>
      <c r="D38" s="37">
        <f>D11+D13+D24+D30</f>
        <v>1011879</v>
      </c>
      <c r="E38" s="8" t="str">
        <f t="shared" si="0"/>
        <v>-</v>
      </c>
      <c r="F38" s="45">
        <f t="shared" si="1"/>
        <v>1</v>
      </c>
    </row>
    <row r="39" spans="1:6" ht="30" customHeight="1" x14ac:dyDescent="0.2">
      <c r="A39" s="151" t="s">
        <v>16</v>
      </c>
      <c r="B39" s="152" t="s">
        <v>228</v>
      </c>
      <c r="C39" s="135">
        <f>C40+C41+C42+C50+C52+C58+C59+C57</f>
        <v>42529</v>
      </c>
      <c r="D39" s="135">
        <f>D40+D41+D42+D50+D52+D58+D59+D57</f>
        <v>42529</v>
      </c>
      <c r="E39" s="131" t="str">
        <f t="shared" si="0"/>
        <v>-</v>
      </c>
      <c r="F39" s="153">
        <f t="shared" si="1"/>
        <v>1</v>
      </c>
    </row>
    <row r="40" spans="1:6" ht="28.5" customHeight="1" x14ac:dyDescent="0.2">
      <c r="A40" s="96" t="s">
        <v>17</v>
      </c>
      <c r="B40" s="20" t="s">
        <v>18</v>
      </c>
      <c r="C40" s="36">
        <v>1750</v>
      </c>
      <c r="D40" s="38">
        <f>C40</f>
        <v>1750</v>
      </c>
      <c r="E40" s="43" t="str">
        <f t="shared" si="0"/>
        <v>-</v>
      </c>
      <c r="F40" s="44">
        <f t="shared" si="1"/>
        <v>1</v>
      </c>
    </row>
    <row r="41" spans="1:6" ht="28.5" customHeight="1" x14ac:dyDescent="0.2">
      <c r="A41" s="96" t="s">
        <v>19</v>
      </c>
      <c r="B41" s="20" t="s">
        <v>20</v>
      </c>
      <c r="C41" s="36">
        <v>5827</v>
      </c>
      <c r="D41" s="38">
        <f t="shared" ref="D41:D59" si="4">C41</f>
        <v>5827</v>
      </c>
      <c r="E41" s="43" t="str">
        <f t="shared" si="0"/>
        <v>-</v>
      </c>
      <c r="F41" s="44">
        <f t="shared" si="1"/>
        <v>1</v>
      </c>
    </row>
    <row r="42" spans="1:6" ht="28.5" customHeight="1" x14ac:dyDescent="0.2">
      <c r="A42" s="96" t="s">
        <v>21</v>
      </c>
      <c r="B42" s="21" t="s">
        <v>229</v>
      </c>
      <c r="C42" s="38">
        <f>C43+C45+C46+C47+C48+C49</f>
        <v>290</v>
      </c>
      <c r="D42" s="38">
        <f>D43+D45+D46+D47+D48+D49</f>
        <v>290</v>
      </c>
      <c r="E42" s="43" t="str">
        <f t="shared" si="0"/>
        <v>-</v>
      </c>
      <c r="F42" s="44">
        <f t="shared" si="1"/>
        <v>1</v>
      </c>
    </row>
    <row r="43" spans="1:6" ht="28.5" customHeight="1" x14ac:dyDescent="0.2">
      <c r="A43" s="99" t="s">
        <v>39</v>
      </c>
      <c r="B43" s="90" t="s">
        <v>32</v>
      </c>
      <c r="C43" s="36">
        <v>24</v>
      </c>
      <c r="D43" s="38">
        <f t="shared" si="4"/>
        <v>24</v>
      </c>
      <c r="E43" s="43" t="str">
        <f t="shared" si="0"/>
        <v>-</v>
      </c>
      <c r="F43" s="44">
        <f t="shared" si="1"/>
        <v>1</v>
      </c>
    </row>
    <row r="44" spans="1:6" ht="28.5" customHeight="1" x14ac:dyDescent="0.2">
      <c r="A44" s="99" t="s">
        <v>40</v>
      </c>
      <c r="B44" s="91" t="s">
        <v>33</v>
      </c>
      <c r="C44" s="36">
        <v>24</v>
      </c>
      <c r="D44" s="38">
        <f t="shared" si="4"/>
        <v>24</v>
      </c>
      <c r="E44" s="43" t="str">
        <f t="shared" si="0"/>
        <v>-</v>
      </c>
      <c r="F44" s="44">
        <f t="shared" si="1"/>
        <v>1</v>
      </c>
    </row>
    <row r="45" spans="1:6" ht="28.5" customHeight="1" x14ac:dyDescent="0.2">
      <c r="A45" s="99" t="s">
        <v>41</v>
      </c>
      <c r="B45" s="90" t="s">
        <v>34</v>
      </c>
      <c r="C45" s="36">
        <v>54</v>
      </c>
      <c r="D45" s="38">
        <f t="shared" si="4"/>
        <v>54</v>
      </c>
      <c r="E45" s="43" t="str">
        <f t="shared" si="0"/>
        <v>-</v>
      </c>
      <c r="F45" s="44">
        <f t="shared" si="1"/>
        <v>1</v>
      </c>
    </row>
    <row r="46" spans="1:6" ht="28.5" customHeight="1" x14ac:dyDescent="0.2">
      <c r="A46" s="99" t="s">
        <v>42</v>
      </c>
      <c r="B46" s="90" t="s">
        <v>35</v>
      </c>
      <c r="C46" s="36">
        <v>0</v>
      </c>
      <c r="D46" s="38">
        <f t="shared" si="4"/>
        <v>0</v>
      </c>
      <c r="E46" s="43" t="str">
        <f t="shared" si="0"/>
        <v>-</v>
      </c>
      <c r="F46" s="44" t="str">
        <f t="shared" si="1"/>
        <v>-</v>
      </c>
    </row>
    <row r="47" spans="1:6" ht="28.5" customHeight="1" x14ac:dyDescent="0.2">
      <c r="A47" s="99" t="s">
        <v>43</v>
      </c>
      <c r="B47" s="90" t="s">
        <v>36</v>
      </c>
      <c r="C47" s="36">
        <v>0</v>
      </c>
      <c r="D47" s="38">
        <f t="shared" si="4"/>
        <v>0</v>
      </c>
      <c r="E47" s="43" t="str">
        <f t="shared" si="0"/>
        <v>-</v>
      </c>
      <c r="F47" s="44" t="str">
        <f t="shared" si="1"/>
        <v>-</v>
      </c>
    </row>
    <row r="48" spans="1:6" ht="28.5" customHeight="1" x14ac:dyDescent="0.2">
      <c r="A48" s="99" t="s">
        <v>44</v>
      </c>
      <c r="B48" s="90" t="s">
        <v>37</v>
      </c>
      <c r="C48" s="36">
        <v>152</v>
      </c>
      <c r="D48" s="38">
        <f t="shared" si="4"/>
        <v>152</v>
      </c>
      <c r="E48" s="43" t="str">
        <f t="shared" si="0"/>
        <v>-</v>
      </c>
      <c r="F48" s="44">
        <f t="shared" si="1"/>
        <v>1</v>
      </c>
    </row>
    <row r="49" spans="1:6" ht="28.5" customHeight="1" x14ac:dyDescent="0.2">
      <c r="A49" s="99" t="s">
        <v>45</v>
      </c>
      <c r="B49" s="90" t="s">
        <v>38</v>
      </c>
      <c r="C49" s="36">
        <v>60</v>
      </c>
      <c r="D49" s="38">
        <f t="shared" si="4"/>
        <v>60</v>
      </c>
      <c r="E49" s="43" t="str">
        <f t="shared" si="0"/>
        <v>-</v>
      </c>
      <c r="F49" s="44">
        <f t="shared" si="1"/>
        <v>1</v>
      </c>
    </row>
    <row r="50" spans="1:6" ht="28.5" customHeight="1" x14ac:dyDescent="0.2">
      <c r="A50" s="96" t="s">
        <v>22</v>
      </c>
      <c r="B50" s="20" t="s">
        <v>159</v>
      </c>
      <c r="C50" s="36">
        <v>23718</v>
      </c>
      <c r="D50" s="38">
        <f t="shared" si="4"/>
        <v>23718</v>
      </c>
      <c r="E50" s="43" t="str">
        <f t="shared" si="0"/>
        <v>-</v>
      </c>
      <c r="F50" s="44">
        <f t="shared" si="1"/>
        <v>1</v>
      </c>
    </row>
    <row r="51" spans="1:6" ht="28.5" customHeight="1" x14ac:dyDescent="0.2">
      <c r="A51" s="99" t="s">
        <v>160</v>
      </c>
      <c r="B51" s="90" t="s">
        <v>161</v>
      </c>
      <c r="C51" s="36">
        <v>24</v>
      </c>
      <c r="D51" s="38">
        <f t="shared" si="4"/>
        <v>24</v>
      </c>
      <c r="E51" s="43" t="str">
        <f t="shared" si="0"/>
        <v>-</v>
      </c>
      <c r="F51" s="44">
        <f t="shared" si="1"/>
        <v>1</v>
      </c>
    </row>
    <row r="52" spans="1:6" ht="28.5" customHeight="1" x14ac:dyDescent="0.2">
      <c r="A52" s="96" t="s">
        <v>23</v>
      </c>
      <c r="B52" s="21" t="s">
        <v>227</v>
      </c>
      <c r="C52" s="34">
        <f>C53+C54+C55+C56</f>
        <v>5335</v>
      </c>
      <c r="D52" s="34">
        <f>D53+D54+D55+D56</f>
        <v>5335</v>
      </c>
      <c r="E52" s="43" t="str">
        <f t="shared" si="0"/>
        <v>-</v>
      </c>
      <c r="F52" s="44">
        <f t="shared" si="1"/>
        <v>1</v>
      </c>
    </row>
    <row r="53" spans="1:6" ht="28.5" customHeight="1" x14ac:dyDescent="0.2">
      <c r="A53" s="99" t="s">
        <v>50</v>
      </c>
      <c r="B53" s="90" t="s">
        <v>46</v>
      </c>
      <c r="C53" s="36">
        <v>4069</v>
      </c>
      <c r="D53" s="38">
        <f t="shared" si="4"/>
        <v>4069</v>
      </c>
      <c r="E53" s="43" t="str">
        <f t="shared" si="0"/>
        <v>-</v>
      </c>
      <c r="F53" s="44">
        <f t="shared" si="1"/>
        <v>1</v>
      </c>
    </row>
    <row r="54" spans="1:6" ht="28.5" customHeight="1" x14ac:dyDescent="0.2">
      <c r="A54" s="99" t="s">
        <v>51</v>
      </c>
      <c r="B54" s="90" t="s">
        <v>47</v>
      </c>
      <c r="C54" s="36">
        <v>583</v>
      </c>
      <c r="D54" s="38">
        <f t="shared" si="4"/>
        <v>583</v>
      </c>
      <c r="E54" s="43" t="str">
        <f t="shared" si="0"/>
        <v>-</v>
      </c>
      <c r="F54" s="44">
        <f t="shared" si="1"/>
        <v>1</v>
      </c>
    </row>
    <row r="55" spans="1:6" ht="28.5" customHeight="1" x14ac:dyDescent="0.2">
      <c r="A55" s="99" t="s">
        <v>52</v>
      </c>
      <c r="B55" s="90" t="s">
        <v>48</v>
      </c>
      <c r="C55" s="36">
        <v>0</v>
      </c>
      <c r="D55" s="38">
        <f t="shared" si="4"/>
        <v>0</v>
      </c>
      <c r="E55" s="43" t="str">
        <f t="shared" si="0"/>
        <v>-</v>
      </c>
      <c r="F55" s="44" t="str">
        <f t="shared" si="1"/>
        <v>-</v>
      </c>
    </row>
    <row r="56" spans="1:6" ht="28.5" customHeight="1" x14ac:dyDescent="0.2">
      <c r="A56" s="99" t="s">
        <v>53</v>
      </c>
      <c r="B56" s="90" t="s">
        <v>49</v>
      </c>
      <c r="C56" s="36">
        <v>683</v>
      </c>
      <c r="D56" s="38">
        <f t="shared" si="4"/>
        <v>683</v>
      </c>
      <c r="E56" s="43" t="str">
        <f t="shared" si="0"/>
        <v>-</v>
      </c>
      <c r="F56" s="44">
        <f t="shared" si="1"/>
        <v>1</v>
      </c>
    </row>
    <row r="57" spans="1:6" ht="28.5" customHeight="1" x14ac:dyDescent="0.2">
      <c r="A57" s="96" t="s">
        <v>24</v>
      </c>
      <c r="B57" s="20" t="s">
        <v>25</v>
      </c>
      <c r="C57" s="36">
        <v>0</v>
      </c>
      <c r="D57" s="38">
        <f t="shared" si="4"/>
        <v>0</v>
      </c>
      <c r="E57" s="43" t="str">
        <f t="shared" si="0"/>
        <v>-</v>
      </c>
      <c r="F57" s="44" t="str">
        <f t="shared" si="1"/>
        <v>-</v>
      </c>
    </row>
    <row r="58" spans="1:6" ht="28.5" customHeight="1" x14ac:dyDescent="0.2">
      <c r="A58" s="96" t="s">
        <v>26</v>
      </c>
      <c r="B58" s="20" t="s">
        <v>162</v>
      </c>
      <c r="C58" s="36">
        <v>5300</v>
      </c>
      <c r="D58" s="38">
        <f t="shared" si="4"/>
        <v>5300</v>
      </c>
      <c r="E58" s="43" t="str">
        <f t="shared" si="0"/>
        <v>-</v>
      </c>
      <c r="F58" s="46">
        <f t="shared" si="1"/>
        <v>1</v>
      </c>
    </row>
    <row r="59" spans="1:6" ht="28.5" customHeight="1" x14ac:dyDescent="0.2">
      <c r="A59" s="96" t="s">
        <v>27</v>
      </c>
      <c r="B59" s="20" t="s">
        <v>28</v>
      </c>
      <c r="C59" s="36">
        <v>309</v>
      </c>
      <c r="D59" s="38">
        <f t="shared" si="4"/>
        <v>309</v>
      </c>
      <c r="E59" s="43" t="str">
        <f t="shared" si="0"/>
        <v>-</v>
      </c>
      <c r="F59" s="44">
        <f t="shared" si="1"/>
        <v>1</v>
      </c>
    </row>
    <row r="60" spans="1:6" ht="30" customHeight="1" x14ac:dyDescent="0.2">
      <c r="A60" s="142" t="s">
        <v>135</v>
      </c>
      <c r="B60" s="143" t="s">
        <v>163</v>
      </c>
      <c r="C60" s="154">
        <f>C61+C62+C63+C64</f>
        <v>19360</v>
      </c>
      <c r="D60" s="154">
        <f>D61+D62+D63+D64</f>
        <v>19360</v>
      </c>
      <c r="E60" s="131" t="str">
        <f t="shared" si="0"/>
        <v>-</v>
      </c>
      <c r="F60" s="155">
        <f t="shared" si="1"/>
        <v>1</v>
      </c>
    </row>
    <row r="61" spans="1:6" ht="42" customHeight="1" x14ac:dyDescent="0.2">
      <c r="A61" s="96" t="s">
        <v>101</v>
      </c>
      <c r="B61" s="20" t="s">
        <v>115</v>
      </c>
      <c r="C61" s="36">
        <v>0</v>
      </c>
      <c r="D61" s="38">
        <f>C61</f>
        <v>0</v>
      </c>
      <c r="E61" s="34" t="str">
        <f t="shared" si="0"/>
        <v>-</v>
      </c>
      <c r="F61" s="44" t="str">
        <f t="shared" si="1"/>
        <v>-</v>
      </c>
    </row>
    <row r="62" spans="1:6" ht="31.5" customHeight="1" x14ac:dyDescent="0.2">
      <c r="A62" s="96" t="s">
        <v>30</v>
      </c>
      <c r="B62" s="20" t="s">
        <v>55</v>
      </c>
      <c r="C62" s="36">
        <v>16095</v>
      </c>
      <c r="D62" s="38">
        <f>C62</f>
        <v>16095</v>
      </c>
      <c r="E62" s="34" t="str">
        <f t="shared" si="0"/>
        <v>-</v>
      </c>
      <c r="F62" s="44">
        <f t="shared" si="1"/>
        <v>1</v>
      </c>
    </row>
    <row r="63" spans="1:6" ht="31.5" customHeight="1" x14ac:dyDescent="0.2">
      <c r="A63" s="96" t="s">
        <v>31</v>
      </c>
      <c r="B63" s="20" t="s">
        <v>103</v>
      </c>
      <c r="C63" s="36">
        <v>0</v>
      </c>
      <c r="D63" s="38">
        <f>C63</f>
        <v>0</v>
      </c>
      <c r="E63" s="34" t="str">
        <f t="shared" si="0"/>
        <v>-</v>
      </c>
      <c r="F63" s="44" t="str">
        <f t="shared" si="1"/>
        <v>-</v>
      </c>
    </row>
    <row r="64" spans="1:6" ht="31.5" customHeight="1" x14ac:dyDescent="0.2">
      <c r="A64" s="96" t="s">
        <v>102</v>
      </c>
      <c r="B64" s="20" t="s">
        <v>104</v>
      </c>
      <c r="C64" s="36">
        <v>3265</v>
      </c>
      <c r="D64" s="38">
        <f>C64</f>
        <v>3265</v>
      </c>
      <c r="E64" s="34" t="str">
        <f t="shared" si="0"/>
        <v>-</v>
      </c>
      <c r="F64" s="44">
        <f t="shared" si="1"/>
        <v>1</v>
      </c>
    </row>
    <row r="65" spans="1:6" ht="32.25" customHeight="1" x14ac:dyDescent="0.2">
      <c r="A65" s="142" t="s">
        <v>137</v>
      </c>
      <c r="B65" s="143" t="s">
        <v>116</v>
      </c>
      <c r="C65" s="154">
        <v>300</v>
      </c>
      <c r="D65" s="154">
        <f>C65</f>
        <v>300</v>
      </c>
      <c r="E65" s="131" t="str">
        <f t="shared" si="0"/>
        <v>-</v>
      </c>
      <c r="F65" s="155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23</vt:i4>
      </vt:variant>
    </vt:vector>
  </HeadingPairs>
  <TitlesOfParts>
    <vt:vector size="44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Łącznie</vt:lpstr>
      <vt:lpstr>Plan po zm. łącznie  NFZ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Łącznie!Obszar_wydruku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'Plan po zm. łącznie  NFZ'!Obszar_wydruku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  <vt:lpstr>'Plan po zm. łącznie  NFZ'!Tytuły_wydruku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Mackiewicz Marian</dc:creator>
  <cp:lastModifiedBy>Mackiewicz Marian</cp:lastModifiedBy>
  <cp:lastPrinted>2017-07-11T09:52:22Z</cp:lastPrinted>
  <dcterms:created xsi:type="dcterms:W3CDTF">2005-07-21T09:51:05Z</dcterms:created>
  <dcterms:modified xsi:type="dcterms:W3CDTF">2017-07-20T07:55:46Z</dcterms:modified>
</cp:coreProperties>
</file>