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65" windowWidth="19440" windowHeight="11700" tabRatio="915" activeTab="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D64" i="8" l="1"/>
  <c r="D62" i="8"/>
  <c r="D65" i="12"/>
  <c r="D65" i="22"/>
  <c r="D9" i="3" l="1"/>
  <c r="D9" i="5"/>
  <c r="D9" i="6"/>
  <c r="D63" i="7"/>
  <c r="D9" i="7"/>
  <c r="D9" i="8"/>
  <c r="D9" i="9"/>
  <c r="D9" i="10"/>
  <c r="D9" i="11"/>
  <c r="D9" i="12"/>
  <c r="D9" i="13"/>
  <c r="D9" i="14"/>
  <c r="D9" i="15"/>
  <c r="D9" i="16"/>
  <c r="D9" i="17"/>
  <c r="D9" i="18"/>
  <c r="D9" i="19"/>
  <c r="D62" i="22"/>
  <c r="D18" i="23"/>
  <c r="D81" i="23" l="1"/>
  <c r="D89" i="23"/>
  <c r="D88" i="23"/>
  <c r="D64" i="22"/>
  <c r="D61" i="22"/>
  <c r="D65" i="3" l="1"/>
  <c r="D64" i="3"/>
  <c r="D62" i="3"/>
  <c r="D65" i="5"/>
  <c r="D62" i="5"/>
  <c r="D65" i="6"/>
  <c r="D62" i="6"/>
  <c r="D65" i="7"/>
  <c r="D62" i="7"/>
  <c r="D65" i="8"/>
  <c r="D61" i="8"/>
  <c r="D65" i="9"/>
  <c r="D64" i="9"/>
  <c r="D62" i="9"/>
  <c r="D65" i="10"/>
  <c r="D64" i="10"/>
  <c r="D62" i="10"/>
  <c r="D65" i="11"/>
  <c r="D64" i="11"/>
  <c r="D62" i="11"/>
  <c r="D64" i="12"/>
  <c r="D62" i="12"/>
  <c r="D65" i="13"/>
  <c r="D64" i="13"/>
  <c r="D62" i="13"/>
  <c r="D65" i="14"/>
  <c r="D62" i="14"/>
  <c r="D65" i="15"/>
  <c r="D64" i="15"/>
  <c r="D62" i="15"/>
  <c r="D65" i="16"/>
  <c r="D64" i="16"/>
  <c r="D62" i="16"/>
  <c r="D65" i="17"/>
  <c r="D64" i="17"/>
  <c r="D62" i="17"/>
  <c r="D61" i="17"/>
  <c r="D65" i="18"/>
  <c r="D64" i="18"/>
  <c r="D62" i="18"/>
  <c r="D65" i="19"/>
  <c r="D64" i="19"/>
  <c r="D62" i="19"/>
  <c r="D22" i="23" l="1"/>
  <c r="C60" i="3"/>
  <c r="D57" i="3"/>
  <c r="C52" i="3"/>
  <c r="D48" i="3"/>
  <c r="D44" i="3"/>
  <c r="D37" i="3"/>
  <c r="D33" i="3"/>
  <c r="D29" i="3"/>
  <c r="D25" i="3"/>
  <c r="D17" i="3"/>
  <c r="C38" i="3"/>
  <c r="C6" i="3"/>
  <c r="D61" i="5"/>
  <c r="D59" i="5"/>
  <c r="D56" i="5"/>
  <c r="D53" i="5"/>
  <c r="D51" i="5"/>
  <c r="D50" i="5"/>
  <c r="D47" i="5"/>
  <c r="D46" i="5"/>
  <c r="D43" i="5"/>
  <c r="D36" i="5"/>
  <c r="D35" i="5"/>
  <c r="D33" i="5"/>
  <c r="D32" i="5"/>
  <c r="D28" i="5"/>
  <c r="D27" i="5"/>
  <c r="D23" i="5"/>
  <c r="D20" i="5"/>
  <c r="D17" i="5"/>
  <c r="D16" i="5"/>
  <c r="D15" i="5"/>
  <c r="D12" i="5"/>
  <c r="D11" i="5"/>
  <c r="D8" i="5"/>
  <c r="C60" i="6"/>
  <c r="D57" i="6"/>
  <c r="D50" i="6"/>
  <c r="D46" i="6"/>
  <c r="D41" i="6"/>
  <c r="D37" i="6"/>
  <c r="D35" i="6"/>
  <c r="D33" i="6"/>
  <c r="D31" i="6"/>
  <c r="D27" i="6"/>
  <c r="D21" i="6"/>
  <c r="D20" i="6"/>
  <c r="D17" i="6"/>
  <c r="D16" i="6"/>
  <c r="D12" i="6"/>
  <c r="D61" i="7"/>
  <c r="D57" i="7"/>
  <c r="D56" i="7"/>
  <c r="D55" i="7"/>
  <c r="D51" i="7"/>
  <c r="D50" i="7"/>
  <c r="D47" i="7"/>
  <c r="D46" i="7"/>
  <c r="D43" i="7"/>
  <c r="D41" i="7"/>
  <c r="D37" i="7"/>
  <c r="D36" i="7"/>
  <c r="D32" i="7"/>
  <c r="D31" i="7"/>
  <c r="D28" i="7"/>
  <c r="D21" i="7"/>
  <c r="D20" i="7"/>
  <c r="D19" i="7"/>
  <c r="D16" i="7"/>
  <c r="D15" i="7"/>
  <c r="D12" i="7"/>
  <c r="D11" i="7"/>
  <c r="D8" i="7"/>
  <c r="D7" i="7"/>
  <c r="D57" i="8"/>
  <c r="C52" i="8"/>
  <c r="D51" i="8"/>
  <c r="D47" i="8"/>
  <c r="D46" i="8"/>
  <c r="D44" i="8"/>
  <c r="D43" i="8"/>
  <c r="D37" i="8"/>
  <c r="D36" i="8"/>
  <c r="D33" i="8"/>
  <c r="D32" i="8"/>
  <c r="D29" i="8"/>
  <c r="D28" i="8"/>
  <c r="D27" i="8"/>
  <c r="D57" i="9"/>
  <c r="D50" i="9"/>
  <c r="D48" i="9"/>
  <c r="D46" i="9"/>
  <c r="D44" i="9"/>
  <c r="D41" i="9"/>
  <c r="D37" i="9"/>
  <c r="D35" i="9"/>
  <c r="D33" i="9"/>
  <c r="D31" i="9"/>
  <c r="D29" i="9"/>
  <c r="D27" i="9"/>
  <c r="D25" i="9"/>
  <c r="D21" i="9"/>
  <c r="D19" i="9"/>
  <c r="D17" i="9"/>
  <c r="D15" i="9"/>
  <c r="D13" i="9"/>
  <c r="D7" i="9"/>
  <c r="D57" i="10"/>
  <c r="D44" i="10"/>
  <c r="D37" i="10"/>
  <c r="D33" i="10"/>
  <c r="D29" i="10"/>
  <c r="D27" i="10"/>
  <c r="D25" i="10"/>
  <c r="D23" i="10"/>
  <c r="D21" i="10"/>
  <c r="D19" i="10"/>
  <c r="D17" i="10"/>
  <c r="D15" i="10"/>
  <c r="D13" i="10"/>
  <c r="D61" i="11"/>
  <c r="D51" i="11"/>
  <c r="D47" i="11"/>
  <c r="D46" i="11"/>
  <c r="D43" i="11"/>
  <c r="D37" i="11"/>
  <c r="D35" i="11"/>
  <c r="D33" i="11"/>
  <c r="D31" i="11"/>
  <c r="D29" i="11"/>
  <c r="D25" i="11"/>
  <c r="D23" i="11"/>
  <c r="D21" i="11"/>
  <c r="D20" i="11"/>
  <c r="D17" i="11"/>
  <c r="D16" i="11"/>
  <c r="D15" i="11"/>
  <c r="D13" i="11"/>
  <c r="D12" i="11"/>
  <c r="D8" i="11"/>
  <c r="D7" i="11"/>
  <c r="D61" i="12"/>
  <c r="D57" i="12"/>
  <c r="D56" i="12"/>
  <c r="D51" i="12"/>
  <c r="D50" i="12"/>
  <c r="D47" i="12"/>
  <c r="D44" i="12"/>
  <c r="D43" i="12"/>
  <c r="D36" i="12"/>
  <c r="D32" i="12"/>
  <c r="D29" i="12"/>
  <c r="D28" i="12"/>
  <c r="D23" i="12"/>
  <c r="D21" i="12"/>
  <c r="D19" i="12"/>
  <c r="D17" i="12"/>
  <c r="D15" i="12"/>
  <c r="D11" i="12"/>
  <c r="D7" i="12"/>
  <c r="D56" i="13"/>
  <c r="D50" i="13"/>
  <c r="D46" i="13"/>
  <c r="D41" i="13"/>
  <c r="D36" i="13"/>
  <c r="D32" i="13"/>
  <c r="D31" i="13"/>
  <c r="D30" i="13"/>
  <c r="D28" i="13"/>
  <c r="D27" i="13"/>
  <c r="D26" i="13"/>
  <c r="D23" i="13"/>
  <c r="D21" i="13"/>
  <c r="D20" i="13"/>
  <c r="D19" i="13"/>
  <c r="D17" i="13"/>
  <c r="D16" i="13"/>
  <c r="D13" i="13"/>
  <c r="D12" i="13"/>
  <c r="D11" i="13"/>
  <c r="D8" i="13"/>
  <c r="D57" i="14"/>
  <c r="D56" i="14"/>
  <c r="D51" i="14"/>
  <c r="D48" i="14"/>
  <c r="D47" i="14"/>
  <c r="D44" i="14"/>
  <c r="D23" i="14"/>
  <c r="D21" i="14"/>
  <c r="D20" i="14"/>
  <c r="D17" i="14"/>
  <c r="D16" i="14"/>
  <c r="D15" i="14"/>
  <c r="D13" i="14"/>
  <c r="D12" i="14"/>
  <c r="D8" i="14"/>
  <c r="D61" i="15"/>
  <c r="D59" i="15"/>
  <c r="D56" i="15"/>
  <c r="D55" i="15"/>
  <c r="D50" i="15"/>
  <c r="D46" i="15"/>
  <c r="D41" i="15"/>
  <c r="D35" i="15"/>
  <c r="D31" i="15"/>
  <c r="D27" i="15"/>
  <c r="D23" i="15"/>
  <c r="D21" i="15"/>
  <c r="D20" i="15"/>
  <c r="D17" i="15"/>
  <c r="D16" i="15"/>
  <c r="D15" i="15"/>
  <c r="D13" i="15"/>
  <c r="D12" i="15"/>
  <c r="D8" i="15"/>
  <c r="D63" i="16"/>
  <c r="D58" i="16"/>
  <c r="D57" i="16"/>
  <c r="D54" i="16"/>
  <c r="D41" i="16"/>
  <c r="D37" i="16"/>
  <c r="D34" i="16"/>
  <c r="D30" i="16"/>
  <c r="D29" i="16"/>
  <c r="D27" i="16"/>
  <c r="D26" i="16"/>
  <c r="D22" i="16"/>
  <c r="D21" i="16"/>
  <c r="D19" i="16"/>
  <c r="D18" i="16"/>
  <c r="D17" i="16"/>
  <c r="D14" i="16"/>
  <c r="D13" i="16"/>
  <c r="D7" i="16"/>
  <c r="D56" i="17"/>
  <c r="D55" i="17"/>
  <c r="D53" i="17"/>
  <c r="D51" i="17"/>
  <c r="D47" i="17"/>
  <c r="D46" i="17"/>
  <c r="D43" i="17"/>
  <c r="D41" i="17"/>
  <c r="D36" i="17"/>
  <c r="D35" i="17"/>
  <c r="D32" i="17"/>
  <c r="D31" i="17"/>
  <c r="D28" i="17"/>
  <c r="D27" i="17"/>
  <c r="D23" i="17"/>
  <c r="D19" i="17"/>
  <c r="D15" i="17"/>
  <c r="D12" i="17"/>
  <c r="D11" i="17"/>
  <c r="D8" i="17"/>
  <c r="D58" i="18"/>
  <c r="D57" i="18"/>
  <c r="D49" i="18"/>
  <c r="D45" i="18"/>
  <c r="D44" i="18"/>
  <c r="D40" i="18"/>
  <c r="D37" i="18"/>
  <c r="D33" i="18"/>
  <c r="D29" i="18"/>
  <c r="D25" i="18"/>
  <c r="D57" i="22"/>
  <c r="C52" i="22"/>
  <c r="D53" i="22"/>
  <c r="C42" i="22"/>
  <c r="D23" i="22"/>
  <c r="D21" i="22"/>
  <c r="D19" i="22"/>
  <c r="D17" i="22"/>
  <c r="D16" i="22"/>
  <c r="D15" i="22"/>
  <c r="D13" i="22"/>
  <c r="D11" i="22"/>
  <c r="D9" i="22"/>
  <c r="D8" i="22"/>
  <c r="C6" i="22"/>
  <c r="D63" i="22"/>
  <c r="C60" i="22"/>
  <c r="D59" i="22"/>
  <c r="D58" i="22"/>
  <c r="D56" i="22"/>
  <c r="D55" i="22"/>
  <c r="D54" i="22"/>
  <c r="D51" i="22"/>
  <c r="D50" i="22"/>
  <c r="D49" i="22"/>
  <c r="D48" i="22"/>
  <c r="D47" i="22"/>
  <c r="D46" i="22"/>
  <c r="D45" i="22"/>
  <c r="D44" i="22"/>
  <c r="D41" i="22"/>
  <c r="D40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2" i="22"/>
  <c r="D20" i="22"/>
  <c r="D18" i="22"/>
  <c r="D14" i="22"/>
  <c r="D12" i="22"/>
  <c r="D10" i="22"/>
  <c r="D63" i="17"/>
  <c r="D59" i="17"/>
  <c r="D58" i="17"/>
  <c r="D57" i="17"/>
  <c r="D54" i="17"/>
  <c r="D50" i="17"/>
  <c r="D49" i="17"/>
  <c r="D48" i="17"/>
  <c r="D45" i="17"/>
  <c r="D44" i="17"/>
  <c r="D40" i="17"/>
  <c r="D37" i="17"/>
  <c r="D34" i="17"/>
  <c r="D33" i="17"/>
  <c r="D30" i="17"/>
  <c r="D29" i="17"/>
  <c r="D26" i="17"/>
  <c r="D25" i="17"/>
  <c r="D22" i="17"/>
  <c r="D21" i="17"/>
  <c r="D20" i="17"/>
  <c r="D18" i="17"/>
  <c r="D17" i="17"/>
  <c r="D16" i="17"/>
  <c r="D14" i="17"/>
  <c r="D10" i="17"/>
  <c r="D61" i="16"/>
  <c r="D59" i="16"/>
  <c r="D56" i="16"/>
  <c r="D55" i="16"/>
  <c r="D53" i="16"/>
  <c r="D51" i="16"/>
  <c r="D50" i="16"/>
  <c r="D49" i="16"/>
  <c r="D48" i="16"/>
  <c r="D47" i="16"/>
  <c r="D46" i="16"/>
  <c r="D45" i="16"/>
  <c r="D44" i="16"/>
  <c r="D36" i="16"/>
  <c r="D35" i="16"/>
  <c r="D33" i="16"/>
  <c r="D32" i="16"/>
  <c r="D31" i="16"/>
  <c r="D28" i="16"/>
  <c r="D25" i="16"/>
  <c r="D23" i="16"/>
  <c r="D20" i="16"/>
  <c r="D16" i="16"/>
  <c r="D15" i="16"/>
  <c r="D12" i="16"/>
  <c r="D10" i="16"/>
  <c r="D58" i="15"/>
  <c r="D57" i="15"/>
  <c r="D54" i="15"/>
  <c r="D53" i="15"/>
  <c r="D51" i="15"/>
  <c r="D49" i="15"/>
  <c r="D48" i="15"/>
  <c r="D47" i="15"/>
  <c r="D45" i="15"/>
  <c r="D44" i="15"/>
  <c r="D43" i="15"/>
  <c r="D40" i="15"/>
  <c r="D37" i="15"/>
  <c r="D36" i="15"/>
  <c r="D34" i="15"/>
  <c r="D33" i="15"/>
  <c r="D32" i="15"/>
  <c r="D30" i="15"/>
  <c r="D29" i="15"/>
  <c r="D28" i="15"/>
  <c r="D26" i="15"/>
  <c r="D25" i="15"/>
  <c r="D22" i="15"/>
  <c r="D19" i="15"/>
  <c r="D18" i="15"/>
  <c r="D14" i="15"/>
  <c r="D10" i="15"/>
  <c r="D64" i="14"/>
  <c r="D63" i="14"/>
  <c r="D59" i="14"/>
  <c r="D58" i="14"/>
  <c r="D55" i="14"/>
  <c r="D54" i="14"/>
  <c r="D50" i="14"/>
  <c r="D49" i="14"/>
  <c r="D46" i="14"/>
  <c r="D45" i="14"/>
  <c r="D41" i="14"/>
  <c r="D40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2" i="14"/>
  <c r="D19" i="14"/>
  <c r="D18" i="14"/>
  <c r="D14" i="14"/>
  <c r="D10" i="14"/>
  <c r="D63" i="13"/>
  <c r="D59" i="13"/>
  <c r="D58" i="13"/>
  <c r="D57" i="13"/>
  <c r="D55" i="13"/>
  <c r="D54" i="13"/>
  <c r="D51" i="13"/>
  <c r="D49" i="13"/>
  <c r="D48" i="13"/>
  <c r="D47" i="13"/>
  <c r="D45" i="13"/>
  <c r="D44" i="13"/>
  <c r="D40" i="13"/>
  <c r="D37" i="13"/>
  <c r="D35" i="13"/>
  <c r="D34" i="13"/>
  <c r="D33" i="13"/>
  <c r="D29" i="13"/>
  <c r="D25" i="13"/>
  <c r="D22" i="13"/>
  <c r="D18" i="13"/>
  <c r="D15" i="13"/>
  <c r="D14" i="13"/>
  <c r="D10" i="13"/>
  <c r="D7" i="13"/>
  <c r="D63" i="12"/>
  <c r="D59" i="12"/>
  <c r="D58" i="12"/>
  <c r="D55" i="12"/>
  <c r="D54" i="12"/>
  <c r="D53" i="12"/>
  <c r="D49" i="12"/>
  <c r="D46" i="12"/>
  <c r="D45" i="12"/>
  <c r="D41" i="12"/>
  <c r="D37" i="12"/>
  <c r="D35" i="12"/>
  <c r="D34" i="12"/>
  <c r="D33" i="12"/>
  <c r="D31" i="12"/>
  <c r="D30" i="12"/>
  <c r="D27" i="12"/>
  <c r="D26" i="12"/>
  <c r="D25" i="12"/>
  <c r="D22" i="12"/>
  <c r="D20" i="12"/>
  <c r="D18" i="12"/>
  <c r="D16" i="12"/>
  <c r="D14" i="12"/>
  <c r="D13" i="12"/>
  <c r="D12" i="12"/>
  <c r="D10" i="12"/>
  <c r="D8" i="12"/>
  <c r="D63" i="11"/>
  <c r="D59" i="11"/>
  <c r="D58" i="11"/>
  <c r="D57" i="11"/>
  <c r="D56" i="11"/>
  <c r="D55" i="11"/>
  <c r="D54" i="11"/>
  <c r="D53" i="11"/>
  <c r="D50" i="11"/>
  <c r="D49" i="11"/>
  <c r="D48" i="11"/>
  <c r="D45" i="11"/>
  <c r="D44" i="11"/>
  <c r="D41" i="11"/>
  <c r="D36" i="11"/>
  <c r="D34" i="11"/>
  <c r="D32" i="11"/>
  <c r="D30" i="11"/>
  <c r="D28" i="11"/>
  <c r="D27" i="11"/>
  <c r="D26" i="11"/>
  <c r="D22" i="11"/>
  <c r="D19" i="11"/>
  <c r="D18" i="11"/>
  <c r="D14" i="11"/>
  <c r="D11" i="11"/>
  <c r="D10" i="11"/>
  <c r="D63" i="10"/>
  <c r="D61" i="10"/>
  <c r="C60" i="10"/>
  <c r="D59" i="10"/>
  <c r="D58" i="10"/>
  <c r="D56" i="10"/>
  <c r="D55" i="10"/>
  <c r="D54" i="10"/>
  <c r="D51" i="10"/>
  <c r="D50" i="10"/>
  <c r="D49" i="10"/>
  <c r="D47" i="10"/>
  <c r="D46" i="10"/>
  <c r="D45" i="10"/>
  <c r="D43" i="10"/>
  <c r="D40" i="10"/>
  <c r="D36" i="10"/>
  <c r="D35" i="10"/>
  <c r="D34" i="10"/>
  <c r="D32" i="10"/>
  <c r="D31" i="10"/>
  <c r="D30" i="10"/>
  <c r="D28" i="10"/>
  <c r="D26" i="10"/>
  <c r="D22" i="10"/>
  <c r="D20" i="10"/>
  <c r="D18" i="10"/>
  <c r="D16" i="10"/>
  <c r="D14" i="10"/>
  <c r="D12" i="10"/>
  <c r="D10" i="10"/>
  <c r="D8" i="10"/>
  <c r="D63" i="9"/>
  <c r="D59" i="9"/>
  <c r="D58" i="9"/>
  <c r="D56" i="9"/>
  <c r="D55" i="9"/>
  <c r="D54" i="9"/>
  <c r="D51" i="9"/>
  <c r="D49" i="9"/>
  <c r="D47" i="9"/>
  <c r="D45" i="9"/>
  <c r="D40" i="9"/>
  <c r="D36" i="9"/>
  <c r="D34" i="9"/>
  <c r="D32" i="9"/>
  <c r="D30" i="9"/>
  <c r="D28" i="9"/>
  <c r="D26" i="9"/>
  <c r="D23" i="9"/>
  <c r="D22" i="9"/>
  <c r="D20" i="9"/>
  <c r="D18" i="9"/>
  <c r="D16" i="9"/>
  <c r="D14" i="9"/>
  <c r="D12" i="9"/>
  <c r="D10" i="9"/>
  <c r="D8" i="9"/>
  <c r="D63" i="8"/>
  <c r="D59" i="8"/>
  <c r="D58" i="8"/>
  <c r="D56" i="8"/>
  <c r="D55" i="8"/>
  <c r="D54" i="8"/>
  <c r="D50" i="8"/>
  <c r="D49" i="8"/>
  <c r="D48" i="8"/>
  <c r="D45" i="8"/>
  <c r="D41" i="8"/>
  <c r="D40" i="8"/>
  <c r="D35" i="8"/>
  <c r="D34" i="8"/>
  <c r="D31" i="8"/>
  <c r="D30" i="8"/>
  <c r="D26" i="8"/>
  <c r="D25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8" i="8"/>
  <c r="D7" i="8"/>
  <c r="D64" i="7"/>
  <c r="D59" i="7"/>
  <c r="D58" i="7"/>
  <c r="D54" i="7"/>
  <c r="D53" i="7"/>
  <c r="D49" i="7"/>
  <c r="D48" i="7"/>
  <c r="D45" i="7"/>
  <c r="D44" i="7"/>
  <c r="D40" i="7"/>
  <c r="D35" i="7"/>
  <c r="D34" i="7"/>
  <c r="D33" i="7"/>
  <c r="D30" i="7"/>
  <c r="D29" i="7"/>
  <c r="D27" i="7"/>
  <c r="D26" i="7"/>
  <c r="D25" i="7"/>
  <c r="D23" i="7"/>
  <c r="D22" i="7"/>
  <c r="D18" i="7"/>
  <c r="D17" i="7"/>
  <c r="D14" i="7"/>
  <c r="D13" i="7"/>
  <c r="D10" i="7"/>
  <c r="D64" i="6"/>
  <c r="D63" i="6"/>
  <c r="D59" i="6"/>
  <c r="D58" i="6"/>
  <c r="D56" i="6"/>
  <c r="D55" i="6"/>
  <c r="D54" i="6"/>
  <c r="D51" i="6"/>
  <c r="D49" i="6"/>
  <c r="D48" i="6"/>
  <c r="D47" i="6"/>
  <c r="D45" i="6"/>
  <c r="D44" i="6"/>
  <c r="D43" i="6"/>
  <c r="D40" i="6"/>
  <c r="D36" i="6"/>
  <c r="D34" i="6"/>
  <c r="D32" i="6"/>
  <c r="D30" i="6"/>
  <c r="D29" i="6"/>
  <c r="D28" i="6"/>
  <c r="D26" i="6"/>
  <c r="D25" i="6"/>
  <c r="D23" i="6"/>
  <c r="D22" i="6"/>
  <c r="D19" i="6"/>
  <c r="D18" i="6"/>
  <c r="D15" i="6"/>
  <c r="D14" i="6"/>
  <c r="D13" i="6"/>
  <c r="D10" i="6"/>
  <c r="D7" i="6"/>
  <c r="D58" i="5"/>
  <c r="D57" i="5"/>
  <c r="D55" i="5"/>
  <c r="D54" i="5"/>
  <c r="D49" i="5"/>
  <c r="D48" i="5"/>
  <c r="D45" i="5"/>
  <c r="D44" i="5"/>
  <c r="D41" i="5"/>
  <c r="D40" i="5"/>
  <c r="D37" i="5"/>
  <c r="D34" i="5"/>
  <c r="D31" i="5"/>
  <c r="D30" i="5"/>
  <c r="D29" i="5"/>
  <c r="D26" i="5"/>
  <c r="D25" i="5"/>
  <c r="D22" i="5"/>
  <c r="D21" i="5"/>
  <c r="D19" i="5"/>
  <c r="D18" i="5"/>
  <c r="D14" i="5"/>
  <c r="D13" i="5"/>
  <c r="D10" i="5"/>
  <c r="D7" i="5"/>
  <c r="D63" i="3"/>
  <c r="D59" i="3"/>
  <c r="D58" i="3"/>
  <c r="D56" i="3"/>
  <c r="D55" i="3"/>
  <c r="D54" i="3"/>
  <c r="D51" i="3"/>
  <c r="D50" i="3"/>
  <c r="D49" i="3"/>
  <c r="D47" i="3"/>
  <c r="D46" i="3"/>
  <c r="D45" i="3"/>
  <c r="D43" i="3"/>
  <c r="D41" i="3"/>
  <c r="D40" i="3"/>
  <c r="D36" i="3"/>
  <c r="D35" i="3"/>
  <c r="D34" i="3"/>
  <c r="D32" i="3"/>
  <c r="D31" i="3"/>
  <c r="D30" i="3"/>
  <c r="D28" i="3"/>
  <c r="D27" i="3"/>
  <c r="D26" i="3"/>
  <c r="D23" i="3"/>
  <c r="D22" i="3"/>
  <c r="D20" i="3"/>
  <c r="D19" i="3"/>
  <c r="D18" i="3"/>
  <c r="D16" i="3"/>
  <c r="D15" i="3"/>
  <c r="D14" i="3"/>
  <c r="D12" i="3"/>
  <c r="D10" i="3"/>
  <c r="D8" i="3"/>
  <c r="D7" i="3"/>
  <c r="D61" i="18"/>
  <c r="D59" i="18"/>
  <c r="D56" i="18"/>
  <c r="D55" i="18"/>
  <c r="D53" i="18"/>
  <c r="D51" i="18"/>
  <c r="D50" i="18"/>
  <c r="D48" i="18"/>
  <c r="D47" i="18"/>
  <c r="D46" i="18"/>
  <c r="D43" i="18"/>
  <c r="D41" i="18"/>
  <c r="D36" i="18"/>
  <c r="D35" i="18"/>
  <c r="D34" i="18"/>
  <c r="D32" i="18"/>
  <c r="D31" i="18"/>
  <c r="D30" i="18"/>
  <c r="D28" i="18"/>
  <c r="D27" i="18"/>
  <c r="D26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8" i="18"/>
  <c r="D7" i="18"/>
  <c r="C6" i="18"/>
  <c r="D29" i="19"/>
  <c r="D37" i="19"/>
  <c r="C34" i="20"/>
  <c r="D24" i="14" l="1"/>
  <c r="D24" i="15"/>
  <c r="D24" i="12"/>
  <c r="D6" i="12" s="1"/>
  <c r="D42" i="6"/>
  <c r="D53" i="10"/>
  <c r="D52" i="10" s="1"/>
  <c r="C52" i="10"/>
  <c r="C52" i="18"/>
  <c r="C60" i="18"/>
  <c r="C38" i="17"/>
  <c r="D63" i="18"/>
  <c r="D60" i="18" s="1"/>
  <c r="D53" i="8"/>
  <c r="D52" i="8" s="1"/>
  <c r="C38" i="18"/>
  <c r="D24" i="11"/>
  <c r="D38" i="11" s="1"/>
  <c r="C52" i="11"/>
  <c r="C60" i="11"/>
  <c r="D24" i="9"/>
  <c r="D6" i="9" s="1"/>
  <c r="C6" i="8"/>
  <c r="C38" i="6"/>
  <c r="D24" i="13"/>
  <c r="D6" i="13" s="1"/>
  <c r="C38" i="8"/>
  <c r="D42" i="8"/>
  <c r="C6" i="6"/>
  <c r="C52" i="6"/>
  <c r="C60" i="17"/>
  <c r="D13" i="3"/>
  <c r="C42" i="5"/>
  <c r="D24" i="5"/>
  <c r="D38" i="5" s="1"/>
  <c r="D8" i="6"/>
  <c r="C42" i="7"/>
  <c r="D24" i="7"/>
  <c r="D38" i="7" s="1"/>
  <c r="C38" i="9"/>
  <c r="C52" i="15"/>
  <c r="D52" i="15"/>
  <c r="D52" i="16"/>
  <c r="C52" i="16"/>
  <c r="D60" i="16"/>
  <c r="D24" i="16"/>
  <c r="D52" i="17"/>
  <c r="D24" i="17"/>
  <c r="C42" i="18"/>
  <c r="D54" i="18"/>
  <c r="D52" i="18" s="1"/>
  <c r="D60" i="22"/>
  <c r="D24" i="22"/>
  <c r="D38" i="22" s="1"/>
  <c r="D52" i="22"/>
  <c r="D7" i="22"/>
  <c r="C38" i="22"/>
  <c r="C39" i="22"/>
  <c r="D43" i="22"/>
  <c r="D42" i="22" s="1"/>
  <c r="D39" i="22" s="1"/>
  <c r="D42" i="18"/>
  <c r="D42" i="3"/>
  <c r="D24" i="18"/>
  <c r="D6" i="18" s="1"/>
  <c r="C42" i="3"/>
  <c r="C39" i="3" s="1"/>
  <c r="C6" i="5"/>
  <c r="D42" i="7"/>
  <c r="C42" i="8"/>
  <c r="C39" i="8" s="1"/>
  <c r="D53" i="3"/>
  <c r="D52" i="3" s="1"/>
  <c r="D61" i="3"/>
  <c r="D60" i="3" s="1"/>
  <c r="C60" i="5"/>
  <c r="C52" i="7"/>
  <c r="C60" i="7"/>
  <c r="D11" i="9"/>
  <c r="C42" i="9"/>
  <c r="C6" i="10"/>
  <c r="D7" i="10"/>
  <c r="D48" i="10"/>
  <c r="D42" i="10" s="1"/>
  <c r="C42" i="10"/>
  <c r="C38" i="5"/>
  <c r="D42" i="5"/>
  <c r="C42" i="6"/>
  <c r="C6" i="7"/>
  <c r="C38" i="7"/>
  <c r="C52" i="9"/>
  <c r="D53" i="9"/>
  <c r="D52" i="9" s="1"/>
  <c r="D21" i="3"/>
  <c r="C52" i="5"/>
  <c r="D53" i="6"/>
  <c r="D52" i="6" s="1"/>
  <c r="D61" i="6"/>
  <c r="D60" i="6" s="1"/>
  <c r="D11" i="3"/>
  <c r="D11" i="6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C42" i="14"/>
  <c r="D43" i="14"/>
  <c r="D42" i="14" s="1"/>
  <c r="C38" i="15"/>
  <c r="D11" i="15"/>
  <c r="D24" i="3"/>
  <c r="D52" i="5"/>
  <c r="D60" i="5"/>
  <c r="D24" i="6"/>
  <c r="D52" i="7"/>
  <c r="D60" i="7"/>
  <c r="D24" i="8"/>
  <c r="D6" i="8" s="1"/>
  <c r="D60" i="8"/>
  <c r="D11" i="10"/>
  <c r="C38" i="10"/>
  <c r="D24" i="10"/>
  <c r="D41" i="10"/>
  <c r="D42" i="11"/>
  <c r="D40" i="12"/>
  <c r="C6" i="13"/>
  <c r="D60" i="10"/>
  <c r="D52" i="11"/>
  <c r="D60" i="11"/>
  <c r="D52" i="12"/>
  <c r="D60" i="12"/>
  <c r="C60" i="13"/>
  <c r="D61" i="13"/>
  <c r="D60" i="13" s="1"/>
  <c r="C6" i="11"/>
  <c r="C38" i="11"/>
  <c r="C42" i="11"/>
  <c r="C6" i="12"/>
  <c r="C38" i="12"/>
  <c r="C52" i="12"/>
  <c r="C60" i="12"/>
  <c r="D63" i="15"/>
  <c r="D60" i="15" s="1"/>
  <c r="C60" i="15"/>
  <c r="C6" i="17"/>
  <c r="D7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D11" i="14"/>
  <c r="C6" i="15"/>
  <c r="D7" i="15"/>
  <c r="D8" i="16"/>
  <c r="C6" i="16"/>
  <c r="C42" i="15"/>
  <c r="C42" i="17"/>
  <c r="D13" i="17"/>
  <c r="D42" i="15"/>
  <c r="D42" i="17"/>
  <c r="D38" i="14" l="1"/>
  <c r="D39" i="17"/>
  <c r="D38" i="12"/>
  <c r="D39" i="6"/>
  <c r="D38" i="9"/>
  <c r="C39" i="5"/>
  <c r="D38" i="13"/>
  <c r="D6" i="6"/>
  <c r="D38" i="16"/>
  <c r="C39" i="11"/>
  <c r="D6" i="11"/>
  <c r="C39" i="6"/>
  <c r="D6" i="16"/>
  <c r="D6" i="7"/>
  <c r="D38" i="17"/>
  <c r="D39" i="9"/>
  <c r="D6" i="15"/>
  <c r="C39" i="13"/>
  <c r="D38" i="15"/>
  <c r="D6" i="14"/>
  <c r="D6" i="5"/>
  <c r="D39" i="8"/>
  <c r="D6" i="17"/>
  <c r="D38" i="6"/>
  <c r="D39" i="15"/>
  <c r="C39" i="18"/>
  <c r="C39" i="17"/>
  <c r="C39" i="16"/>
  <c r="D6" i="22"/>
  <c r="D39" i="14"/>
  <c r="D39" i="13"/>
  <c r="C39" i="12"/>
  <c r="C39" i="7"/>
  <c r="C39" i="10"/>
  <c r="D39" i="7"/>
  <c r="D38" i="3"/>
  <c r="D6" i="3"/>
  <c r="D39" i="5"/>
  <c r="C39" i="9"/>
  <c r="D38" i="10"/>
  <c r="D39" i="10"/>
  <c r="C39" i="15"/>
  <c r="D38" i="18"/>
  <c r="D39" i="18"/>
  <c r="D39" i="11"/>
  <c r="D39" i="3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57" i="23" l="1"/>
  <c r="F37" i="20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F62" i="19"/>
  <c r="D63" i="19"/>
  <c r="E63" i="19" s="1"/>
  <c r="F64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E18" i="23"/>
  <c r="D20" i="23"/>
  <c r="E20" i="23" s="1"/>
  <c r="D21" i="23"/>
  <c r="E21" i="23" s="1"/>
  <c r="D25" i="23"/>
  <c r="C87" i="23"/>
  <c r="E88" i="23"/>
  <c r="E89" i="23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F21" i="23" l="1"/>
  <c r="D54" i="23"/>
  <c r="F34" i="20"/>
  <c r="F25" i="19"/>
  <c r="D24" i="19"/>
  <c r="E24" i="19" s="1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8" i="19"/>
  <c r="E10" i="11"/>
  <c r="E25" i="13"/>
  <c r="E52" i="13"/>
  <c r="F36" i="19"/>
  <c r="F35" i="20" l="1"/>
  <c r="E54" i="23"/>
  <c r="F54" i="23"/>
  <c r="F61" i="20"/>
  <c r="D83" i="23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F83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F55" i="23" l="1"/>
  <c r="E84" i="23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<sst xmlns="http://schemas.openxmlformats.org/spreadsheetml/2006/main" count="2484" uniqueCount="202">
  <si>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</si>
  <si>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</si>
  <si>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</si>
  <si>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</si>
  <si>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</si>
  <si>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</si>
  <si>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</si>
  <si>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</si>
  <si>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</si>
  <si>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</si>
  <si>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</si>
  <si>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</si>
  <si>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</si>
  <si>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</si>
  <si>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</si>
  <si>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</si>
  <si>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</si>
  <si>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</si>
  <si>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</si>
  <si>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</si>
  <si>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</si>
  <si>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</si>
  <si>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</si>
  <si>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</si>
  <si>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</si>
  <si>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</si>
  <si>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</si>
  <si>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</si>
  <si>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</si>
  <si>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</si>
  <si>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</si>
  <si>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</si>
  <si>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</si>
  <si>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</si>
  <si>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</si>
  <si>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</si>
  <si>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</si>
  <si>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</si>
  <si>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</si>
  <si>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</si>
  <si>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</si>
  <si>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</si>
  <si>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</si>
  <si>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</si>
  <si>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</si>
  <si>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</si>
  <si>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</si>
  <si>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</si>
  <si>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</si>
  <si>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</si>
  <si>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</si>
  <si>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</si>
  <si>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</si>
  <si>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</si>
  <si>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</si>
  <si>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</si>
  <si>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</si>
  <si>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</si>
  <si>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</si>
  <si>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</si>
  <si>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</si>
  <si>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</si>
  <si>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</si>
  <si>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</si>
  <si>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</si>
  <si>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</si>
  <si>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</si>
  <si>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</si>
  <si>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</si>
  <si>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</si>
  <si>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</si>
  <si>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</si>
  <si>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</si>
  <si>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</si>
  <si>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</si>
  <si>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</si>
  <si>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</si>
  <si>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</si>
  <si>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</si>
  <si>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</si>
  <si>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</si>
  <si>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</si>
  <si>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</si>
  <si>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</si>
  <si>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</si>
  <si>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</si>
  <si>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</si>
  <si>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</si>
  <si>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</si>
  <si>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</si>
  <si>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</si>
  <si>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</si>
  <si>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</si>
  <si>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</si>
  <si>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</si>
  <si>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</si>
  <si>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</si>
  <si>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</si>
  <si>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</si>
  <si>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</si>
  <si>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</si>
  <si>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</si>
  <si>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</si>
  <si>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</si>
  <si>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</si>
  <si>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</si>
  <si>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</si>
  <si>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</si>
  <si>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</si>
  <si>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</si>
  <si>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</si>
  <si>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</si>
  <si>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</si>
  <si>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</si>
  <si>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</si>
  <si>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</si>
  <si>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</si>
  <si>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</si>
  <si>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</si>
  <si>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</si>
  <si>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</si>
  <si>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</si>
  <si>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</si>
  <si>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</si>
  <si>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</si>
  <si>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</si>
  <si>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</si>
  <si>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</si>
  <si>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</si>
  <si>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</si>
  <si>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</si>
  <si>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</si>
  <si>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</si>
  <si>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</si>
  <si>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</si>
  <si>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</si>
  <si>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</si>
  <si>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</si>
  <si>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</si>
  <si>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</si>
  <si>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</si>
  <si>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</si>
  <si>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</si>
  <si>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</si>
  <si>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</si>
  <si>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</si>
  <si>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</si>
  <si>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</si>
  <si>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</si>
  <si>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</si>
  <si>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</si>
  <si>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</si>
  <si>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</si>
  <si>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</si>
  <si>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</si>
  <si>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</si>
  <si>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</si>
  <si>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</si>
  <si>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</si>
  <si>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</si>
  <si>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</si>
  <si>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</si>
  <si>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</si>
  <si>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</si>
  <si>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</si>
  <si>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</si>
  <si>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</si>
  <si>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</si>
  <si>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</si>
  <si>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</si>
  <si>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</si>
  <si>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</si>
  <si>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</si>
  <si>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</si>
  <si>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</si>
  <si>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</si>
  <si>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</si>
  <si>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</si>
  <si>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</si>
  <si>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</si>
  <si>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</si>
  <si>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</si>
  <si>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</si>
  <si>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</si>
  <si>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</si>
  <si>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</si>
  <si>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</si>
  <si>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</si>
  <si>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</si>
  <si>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</si>
  <si>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</si>
  <si>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</si>
  <si>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</si>
  <si>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</si>
  <si>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</si>
  <si>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</si>
  <si>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</si>
  <si>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</si>
  <si>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</si>
  <si>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</si>
  <si>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</si>
  <si>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>ZMIANA PLANU FINANSOWEGO NARODOWEGO FUNDUSZU ZDROWIA NA 2017 ROK Z DNIA 8 GRUDNIA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</si>
</sst>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showGridLines="0" view="pageBreakPreview" zoomScale="55" zoomScaleNormal="55" zoomScaleSheetLayoutView="5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18" sqref="B18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8" width="9.140625" style="3"/>
    <col min="9" max="9" width="17.85546875" style="3" bestFit="1" customWidth="1"/>
    <col min="10" max="16384" width="9.140625" style="3"/>
  </cols>
  <sheetData>
    <row r="1" spans="1:6" s="28" customFormat="1" ht="58.5" customHeight="1" x14ac:dyDescent="0.35">
      <c r="A1" s="111" t="s">
        <v>201</v>
      </c>
      <c r="B1" s="111"/>
      <c r="C1" s="111"/>
      <c r="D1" s="111"/>
      <c r="E1" s="111"/>
      <c r="F1" s="111"/>
    </row>
    <row r="2" spans="1:6" s="21" customFormat="1" ht="35.25" customHeight="1" x14ac:dyDescent="0.3">
      <c r="A2" s="110" t="s">
        <v>166</v>
      </c>
      <c r="B2" s="110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74746029</v>
      </c>
      <c r="D6" s="83">
        <f>D7+D8</f>
        <v>74746029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71435346</v>
      </c>
      <c r="D7" s="7">
        <f>C7</f>
        <v>71435346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3310683</v>
      </c>
      <c r="D8" s="7">
        <f>C8</f>
        <v>3310683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145768</v>
      </c>
      <c r="D15" s="83">
        <f>D16+D17</f>
        <v>145768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142871</v>
      </c>
      <c r="D16" s="7">
        <f>C16</f>
        <v>142871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2897</v>
      </c>
      <c r="D17" s="7">
        <f>C17</f>
        <v>2897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43848</v>
      </c>
      <c r="D18" s="83">
        <f>C18</f>
        <v>43848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78150772</v>
      </c>
      <c r="D19" s="83">
        <f>(D6-D9+D12-D15-D18)+D20+D21+D22+D23</f>
        <v>78150772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2804</v>
      </c>
      <c r="D21" s="7">
        <f>C21</f>
        <v>2804</v>
      </c>
      <c r="E21" s="7" t="str">
        <f t="shared" si="0"/>
        <v>-</v>
      </c>
      <c r="F21" s="42">
        <f t="shared" si="1"/>
        <v>1</v>
      </c>
    </row>
    <row r="22" spans="1:6" ht="50.25" customHeight="1" x14ac:dyDescent="0.2">
      <c r="A22" s="55" t="s">
        <v>94</v>
      </c>
      <c r="B22" s="25" t="s">
        <v>199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1923442</v>
      </c>
      <c r="D23" s="7">
        <f>C23</f>
        <v>1923442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78890014</v>
      </c>
      <c r="D24" s="83">
        <f>D25+D26+D55+D56+D57</f>
        <v>79149572</v>
      </c>
      <c r="E24" s="83">
        <f t="shared" si="0"/>
        <v>259558</v>
      </c>
      <c r="F24" s="84">
        <f t="shared" si="1"/>
        <v>1.0033000000000001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0</v>
      </c>
      <c r="D25" s="83">
        <f>C25</f>
        <v>0</v>
      </c>
      <c r="E25" s="83" t="str">
        <f t="shared" si="0"/>
        <v>-</v>
      </c>
      <c r="F25" s="84" t="str">
        <f t="shared" si="1"/>
        <v>-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76399468</v>
      </c>
      <c r="D26" s="87">
        <f>D27+D28+D29+D34+D35+D36+D37+D38+D39+D40+D41+D42+D43+D44+D48+D49+D51+D52+D53+D54</f>
        <v>76659026</v>
      </c>
      <c r="E26" s="88">
        <f>IF(C26=D26,"-",D26-C26)</f>
        <v>259558</v>
      </c>
      <c r="F26" s="89">
        <f t="shared" si="1"/>
        <v>1.0034000000000001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10170509</v>
      </c>
      <c r="D27" s="7">
        <f>CENTRALA!D7+'Razem OW'!D7</f>
        <v>10170509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5636323</v>
      </c>
      <c r="D28" s="7">
        <f>CENTRALA!D8+'Razem OW'!D8</f>
        <v>5636323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38480221</v>
      </c>
      <c r="D29" s="7">
        <f>CENTRALA!D9+'Razem OW'!D9</f>
        <v>38739779</v>
      </c>
      <c r="E29" s="7">
        <f t="shared" si="0"/>
        <v>259558</v>
      </c>
      <c r="F29" s="42">
        <f t="shared" si="1"/>
        <v>1.0066999999999999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3624798</v>
      </c>
      <c r="D30" s="7">
        <f>CENTRALA!D10+'Razem OW'!D10</f>
        <v>3624798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3294212</v>
      </c>
      <c r="D31" s="7">
        <f>CENTRALA!D11+'Razem OW'!D11</f>
        <v>3294212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1438758</v>
      </c>
      <c r="D32" s="7">
        <f>CENTRALA!D12+'Razem OW'!D12</f>
        <v>1438758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675753</v>
      </c>
      <c r="D33" s="7">
        <f>CENTRALA!D13+'Razem OW'!D13</f>
        <v>675753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2685552</v>
      </c>
      <c r="D34" s="7">
        <f>CENTRALA!D14+'Razem OW'!D14</f>
        <v>2685552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2319811</v>
      </c>
      <c r="D35" s="7">
        <f>CENTRALA!D15+'Razem OW'!D15</f>
        <v>2319811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1437581</v>
      </c>
      <c r="D36" s="7">
        <f>CENTRALA!D16+'Razem OW'!D16</f>
        <v>1437581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663523</v>
      </c>
      <c r="D37" s="7">
        <f>CENTRALA!D17+'Razem OW'!D17</f>
        <v>663523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1834124</v>
      </c>
      <c r="D38" s="7">
        <f>CENTRALA!D18+'Razem OW'!D18</f>
        <v>1834124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660225</v>
      </c>
      <c r="D39" s="7">
        <f>CENTRALA!D19+'Razem OW'!D19</f>
        <v>660225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49282</v>
      </c>
      <c r="D40" s="7">
        <f>CENTRALA!D20+'Razem OW'!D20</f>
        <v>49282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196199</v>
      </c>
      <c r="D41" s="7">
        <f>CENTRALA!D21+'Razem OW'!D21</f>
        <v>196199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2098096</v>
      </c>
      <c r="D42" s="7">
        <f>CENTRALA!D22+'Razem OW'!D22</f>
        <v>2098096</v>
      </c>
      <c r="E42" s="7" t="str">
        <f t="shared" si="0"/>
        <v>-</v>
      </c>
      <c r="F42" s="42">
        <f t="shared" si="1"/>
        <v>1</v>
      </c>
    </row>
    <row r="43" spans="1:6" ht="25.5" x14ac:dyDescent="0.2">
      <c r="A43" s="57" t="s">
        <v>13</v>
      </c>
      <c r="B43" s="58" t="s">
        <v>147</v>
      </c>
      <c r="C43" s="7">
        <f>CENTRALA!C23+'Razem OW'!C23</f>
        <v>1029387</v>
      </c>
      <c r="D43" s="7">
        <f>CENTRALA!D23+'Razem OW'!D23</f>
        <v>1029387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8286218</v>
      </c>
      <c r="D44" s="7">
        <f>CENTRALA!D24+'Razem OW'!D24</f>
        <v>8286218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8251475</v>
      </c>
      <c r="D45" s="7">
        <f>CENTRALA!D25+'Razem OW'!D25</f>
        <v>8251475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20477</v>
      </c>
      <c r="D46" s="7">
        <f>CENTRALA!D26+'Razem OW'!D26</f>
        <v>20477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14266</v>
      </c>
      <c r="D47" s="7">
        <f>CENTRALA!D27+'Razem OW'!D27</f>
        <v>14266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221495</v>
      </c>
      <c r="D52" s="7">
        <f>CENTRALA!D32+'Razem OW'!D32</f>
        <v>221495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50000</v>
      </c>
      <c r="D53" s="7">
        <f>CENTRALA!D33+'Razem OW'!D33</f>
        <v>50000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35830</v>
      </c>
      <c r="D54" s="7">
        <f>CENTRALA!D34+'Razem OW'!D34</f>
        <v>35830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2804</v>
      </c>
      <c r="D55" s="92">
        <f>C55</f>
        <v>2804</v>
      </c>
      <c r="E55" s="92" t="str">
        <f t="shared" si="0"/>
        <v>-</v>
      </c>
      <c r="F55" s="93">
        <f t="shared" si="1"/>
        <v>1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1923442</v>
      </c>
      <c r="D56" s="83">
        <f>CENTRALA!D36+'Razem OW'!D36</f>
        <v>1923442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12256183</v>
      </c>
      <c r="D58" s="83">
        <f>CENTRALA!D38+'Razem OW'!D38</f>
        <v>12256183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-739242</v>
      </c>
      <c r="D59" s="83">
        <f>D19-D24</f>
        <v>-998800</v>
      </c>
      <c r="E59" s="83">
        <f t="shared" si="0"/>
        <v>-259558</v>
      </c>
      <c r="F59" s="84">
        <f t="shared" si="1"/>
        <v>1.3511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753162</v>
      </c>
      <c r="D60" s="83">
        <f>D61+D62+D63+D71+D73+D78+D79+D80</f>
        <v>753162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25837</v>
      </c>
      <c r="D61" s="7">
        <f>CENTRALA!D40+'Razem OW'!D40</f>
        <v>25837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185633</v>
      </c>
      <c r="D62" s="7">
        <f>CENTRALA!D41+'Razem OW'!D41</f>
        <v>185633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4682</v>
      </c>
      <c r="D63" s="7">
        <f>D64+D66+D67+D68+D69+D70</f>
        <v>4682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680</v>
      </c>
      <c r="D66" s="7">
        <f>CENTRALA!D45+'Razem OW'!D45</f>
        <v>680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2973</v>
      </c>
      <c r="D69" s="7">
        <f>CENTRALA!D48+'Razem OW'!D48</f>
        <v>2973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341092</v>
      </c>
      <c r="D71" s="7">
        <f>CENTRALA!D50+'Razem OW'!D50</f>
        <v>341092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1183</v>
      </c>
      <c r="D72" s="7">
        <f>CENTRALA!D51+'Razem OW'!D51</f>
        <v>1183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77635</v>
      </c>
      <c r="D73" s="7">
        <f>SUM(D74:D77)</f>
        <v>77635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58390</v>
      </c>
      <c r="D74" s="7">
        <f>CENTRALA!D53+'Razem OW'!D53</f>
        <v>58390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8165</v>
      </c>
      <c r="D75" s="7">
        <f>CENTRALA!D54+'Razem OW'!D54</f>
        <v>8165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11080</v>
      </c>
      <c r="D77" s="7">
        <f>CENTRALA!D56+'Razem OW'!D56</f>
        <v>11080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112061</v>
      </c>
      <c r="D79" s="7">
        <f>CENTRALA!D58+'Razem OW'!D58</f>
        <v>112061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6172</v>
      </c>
      <c r="D80" s="7">
        <f>CENTRALA!D59+'Razem OW'!D59</f>
        <v>6172</v>
      </c>
      <c r="E80" s="7" t="str">
        <f t="shared" si="0"/>
        <v>-</v>
      </c>
      <c r="F80" s="42">
        <f t="shared" si="1"/>
        <v>1</v>
      </c>
    </row>
    <row r="81" spans="1:9" s="10" customFormat="1" ht="33" customHeight="1" x14ac:dyDescent="0.4">
      <c r="A81" s="96" t="s">
        <v>132</v>
      </c>
      <c r="B81" s="97" t="s">
        <v>162</v>
      </c>
      <c r="C81" s="83">
        <v>186891</v>
      </c>
      <c r="D81" s="83">
        <f>C81+216817</f>
        <v>403708</v>
      </c>
      <c r="E81" s="83">
        <f t="shared" si="0"/>
        <v>216817</v>
      </c>
      <c r="F81" s="84">
        <f t="shared" si="1"/>
        <v>2.1600999999999999</v>
      </c>
    </row>
    <row r="82" spans="1:9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235034</v>
      </c>
      <c r="E82" s="83">
        <f t="shared" ref="E82:E93" si="2">IF(C82=D82,"-",D82-C82)</f>
        <v>1358</v>
      </c>
      <c r="F82" s="84">
        <f t="shared" ref="F82:F93" si="3">IF(C82=0,"-",D82/C82)</f>
        <v>1.0058</v>
      </c>
    </row>
    <row r="83" spans="1:9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899</v>
      </c>
      <c r="E83" s="7">
        <f t="shared" si="2"/>
        <v>-370</v>
      </c>
      <c r="F83" s="42">
        <f t="shared" si="3"/>
        <v>0.70840000000000003</v>
      </c>
    </row>
    <row r="84" spans="1:9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163439</v>
      </c>
      <c r="E84" s="7">
        <f t="shared" si="2"/>
        <v>-28899</v>
      </c>
      <c r="F84" s="42">
        <f t="shared" si="3"/>
        <v>0.84970000000000001</v>
      </c>
    </row>
    <row r="85" spans="1:9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9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70696</v>
      </c>
      <c r="E86" s="7">
        <f t="shared" si="2"/>
        <v>30627</v>
      </c>
      <c r="F86" s="42">
        <f t="shared" si="3"/>
        <v>1.7644</v>
      </c>
    </row>
    <row r="87" spans="1:9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79044</v>
      </c>
      <c r="E87" s="83">
        <f t="shared" si="2"/>
        <v>26902</v>
      </c>
      <c r="F87" s="84">
        <f t="shared" si="3"/>
        <v>1.5159</v>
      </c>
    </row>
    <row r="88" spans="1:9" ht="30" customHeight="1" x14ac:dyDescent="0.2">
      <c r="A88" s="55" t="s">
        <v>104</v>
      </c>
      <c r="B88" s="24" t="s">
        <v>105</v>
      </c>
      <c r="C88" s="7">
        <v>44370</v>
      </c>
      <c r="D88" s="7">
        <f>C88+9726</f>
        <v>54096</v>
      </c>
      <c r="E88" s="7">
        <f t="shared" si="2"/>
        <v>9726</v>
      </c>
      <c r="F88" s="42">
        <f t="shared" si="3"/>
        <v>1.2192000000000001</v>
      </c>
    </row>
    <row r="89" spans="1:9" ht="30" customHeight="1" x14ac:dyDescent="0.2">
      <c r="A89" s="55" t="s">
        <v>106</v>
      </c>
      <c r="B89" s="25" t="s">
        <v>107</v>
      </c>
      <c r="C89" s="7">
        <v>7772</v>
      </c>
      <c r="D89" s="7">
        <f>C89+17176</f>
        <v>24948</v>
      </c>
      <c r="E89" s="7">
        <f t="shared" si="2"/>
        <v>17176</v>
      </c>
      <c r="F89" s="42">
        <f t="shared" si="3"/>
        <v>3.21</v>
      </c>
    </row>
    <row r="90" spans="1:9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68856</v>
      </c>
      <c r="E90" s="83">
        <f t="shared" si="2"/>
        <v>-17197</v>
      </c>
      <c r="F90" s="84">
        <f t="shared" si="3"/>
        <v>0.80020000000000002</v>
      </c>
    </row>
    <row r="91" spans="1:9" s="10" customFormat="1" ht="64.5" customHeight="1" x14ac:dyDescent="0.4">
      <c r="A91" s="74" t="s">
        <v>136</v>
      </c>
      <c r="B91" s="75" t="s">
        <v>195</v>
      </c>
      <c r="C91" s="71">
        <f>C59-C60+C81-C82+C87-C90</f>
        <v>-1573100</v>
      </c>
      <c r="D91" s="71">
        <f>D59-D60+D81-D82+D87-D90</f>
        <v>-1573100</v>
      </c>
      <c r="E91" s="71" t="str">
        <f t="shared" si="2"/>
        <v>-</v>
      </c>
      <c r="F91" s="73">
        <f t="shared" si="3"/>
        <v>1</v>
      </c>
    </row>
    <row r="92" spans="1:9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78535573</v>
      </c>
      <c r="D92" s="99">
        <f>D6+D12+D20+D21+D22+D23+D81+D87-D18</f>
        <v>78779292</v>
      </c>
      <c r="E92" s="99">
        <f t="shared" si="2"/>
        <v>243719</v>
      </c>
      <c r="F92" s="100">
        <f t="shared" si="3"/>
        <v>1.0031000000000001</v>
      </c>
    </row>
    <row r="93" spans="1:9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80108673</v>
      </c>
      <c r="D93" s="99">
        <f>D9+D15+D25+D26+D55+D56+D57+D60+D82+D90</f>
        <v>80352392</v>
      </c>
      <c r="E93" s="99">
        <f t="shared" si="2"/>
        <v>243719</v>
      </c>
      <c r="F93" s="100">
        <f t="shared" si="3"/>
        <v>1.0029999999999999</v>
      </c>
      <c r="I93" s="109"/>
    </row>
    <row r="94" spans="1:9" ht="26.25" x14ac:dyDescent="0.2">
      <c r="C94" s="11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E31" sqref="E3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11036143</v>
      </c>
      <c r="D6" s="102">
        <f>D7+D8+D9+D14+D15+D16+D17+D18+D19+D20+D21+D22+D23+D24+D28+D29+D31+D32+D33+D34</f>
        <v>11073687</v>
      </c>
      <c r="E6" s="83">
        <f>IF(C6=D6,"-",D6-C6)</f>
        <v>37544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1490323</v>
      </c>
      <c r="D7" s="13">
        <f>C7</f>
        <v>1490323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764334</v>
      </c>
      <c r="D8" s="13">
        <f>C8</f>
        <v>764334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5868850</v>
      </c>
      <c r="D9" s="13">
        <f>C9+37544</f>
        <v>5906394</v>
      </c>
      <c r="E9" s="38">
        <f t="shared" si="0"/>
        <v>37544</v>
      </c>
      <c r="F9" s="39">
        <f t="shared" si="1"/>
        <v>1.0064</v>
      </c>
    </row>
    <row r="10" spans="1:6" ht="31.5" customHeight="1" x14ac:dyDescent="0.2">
      <c r="A10" s="49" t="s">
        <v>55</v>
      </c>
      <c r="B10" s="45" t="s">
        <v>140</v>
      </c>
      <c r="C10" s="31">
        <v>620540</v>
      </c>
      <c r="D10" s="13">
        <f t="shared" ref="D10:D34" si="2">C10</f>
        <v>620540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563395</v>
      </c>
      <c r="D11" s="13">
        <f t="shared" si="2"/>
        <v>563395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223251</v>
      </c>
      <c r="D12" s="13">
        <f t="shared" si="2"/>
        <v>223251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107702</v>
      </c>
      <c r="D13" s="13">
        <f t="shared" si="2"/>
        <v>107702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385950</v>
      </c>
      <c r="D14" s="13">
        <f t="shared" si="2"/>
        <v>385950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422141</v>
      </c>
      <c r="D15" s="13">
        <f t="shared" si="2"/>
        <v>422141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178977</v>
      </c>
      <c r="D16" s="13">
        <f t="shared" si="2"/>
        <v>178977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70018</v>
      </c>
      <c r="D17" s="13">
        <f t="shared" si="2"/>
        <v>70018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215041</v>
      </c>
      <c r="D18" s="13">
        <f t="shared" si="2"/>
        <v>215041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8554</v>
      </c>
      <c r="D20" s="13">
        <f t="shared" si="2"/>
        <v>8554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232992</v>
      </c>
      <c r="D22" s="13">
        <f t="shared" si="2"/>
        <v>232992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1118984</v>
      </c>
      <c r="D24" s="31">
        <f>SUM(D25:D27)</f>
        <v>1118984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1111278</v>
      </c>
      <c r="D25" s="13">
        <f t="shared" si="2"/>
        <v>1111278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4648</v>
      </c>
      <c r="D27" s="13">
        <f t="shared" si="2"/>
        <v>4648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284</v>
      </c>
      <c r="D35" s="37">
        <f>C35</f>
        <v>284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238333</v>
      </c>
      <c r="D36" s="37">
        <f>C36</f>
        <v>238333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79276</v>
      </c>
      <c r="D37" s="37">
        <f>C37</f>
        <v>79276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1790081</v>
      </c>
      <c r="D38" s="32">
        <f>D11+D13+D24+D30</f>
        <v>1790081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70562</v>
      </c>
      <c r="D39" s="87">
        <f>D40+D41+D42+D50+D52+D58+D59+D57</f>
        <v>70562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43501</v>
      </c>
      <c r="D50" s="33">
        <f t="shared" si="3"/>
        <v>43501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9753</v>
      </c>
      <c r="D52" s="29">
        <f>D53+D54+D55+D56</f>
        <v>9753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7466</v>
      </c>
      <c r="D53" s="33">
        <f t="shared" si="3"/>
        <v>7466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1066</v>
      </c>
      <c r="D54" s="33">
        <f t="shared" si="3"/>
        <v>1066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2498</v>
      </c>
      <c r="D58" s="33">
        <f t="shared" si="3"/>
        <v>2498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34108</v>
      </c>
      <c r="E60" s="83">
        <f t="shared" si="0"/>
        <v>12148</v>
      </c>
      <c r="F60" s="108">
        <f t="shared" si="1"/>
        <v>1.5531999999999999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C62+13223</f>
        <v>27051</v>
      </c>
      <c r="E62" s="29">
        <f t="shared" si="0"/>
        <v>13223</v>
      </c>
      <c r="F62" s="39">
        <f t="shared" si="1"/>
        <v>1.9561999999999999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C64-1075</f>
        <v>7057</v>
      </c>
      <c r="E64" s="29">
        <f t="shared" si="0"/>
        <v>-1075</v>
      </c>
      <c r="F64" s="39">
        <f t="shared" si="1"/>
        <v>0.86780000000000002</v>
      </c>
    </row>
    <row r="65" spans="1:6" ht="32.25" customHeight="1" x14ac:dyDescent="0.2">
      <c r="A65" s="94" t="s">
        <v>135</v>
      </c>
      <c r="B65" s="95" t="s">
        <v>114</v>
      </c>
      <c r="C65" s="107">
        <v>9640</v>
      </c>
      <c r="D65" s="107">
        <f>C65+446</f>
        <v>10086</v>
      </c>
      <c r="E65" s="83">
        <f t="shared" si="0"/>
        <v>446</v>
      </c>
      <c r="F65" s="108">
        <f t="shared" si="1"/>
        <v>1.0463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37" activePane="bottomRight" state="frozen"/>
      <selection activeCell="D6" sqref="D6:D93"/>
      <selection pane="topRight" activeCell="D6" sqref="D6:D93"/>
      <selection pane="bottomLeft" activeCell="D6" sqref="D6:D93"/>
      <selection pane="bottomRight" activeCell="E62" sqref="E6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1842990</v>
      </c>
      <c r="D6" s="102">
        <f>D7+D8+D9+D14+D15+D16+D17+D18+D19+D20+D21+D22+D23+D24+D28+D29+D31+D32+D33+D34</f>
        <v>1849323</v>
      </c>
      <c r="E6" s="83">
        <f>IF(C6=D6,"-",D6-C6)</f>
        <v>6333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243249</v>
      </c>
      <c r="D7" s="13">
        <f>C7</f>
        <v>243249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131237</v>
      </c>
      <c r="D8" s="13">
        <f>C8</f>
        <v>131237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915362</v>
      </c>
      <c r="D9" s="13">
        <f>C9+6333</f>
        <v>921695</v>
      </c>
      <c r="E9" s="38">
        <f t="shared" si="0"/>
        <v>6333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v>70727</v>
      </c>
      <c r="D10" s="13">
        <f t="shared" ref="D10:D34" si="2">C10</f>
        <v>70727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64597</v>
      </c>
      <c r="D11" s="13">
        <f t="shared" si="2"/>
        <v>64597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34767</v>
      </c>
      <c r="D12" s="13">
        <f t="shared" si="2"/>
        <v>34767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66487</v>
      </c>
      <c r="D14" s="13">
        <f t="shared" si="2"/>
        <v>66487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56783</v>
      </c>
      <c r="D15" s="13">
        <f t="shared" si="2"/>
        <v>56783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55170</v>
      </c>
      <c r="D16" s="13">
        <f t="shared" si="2"/>
        <v>55170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18832</v>
      </c>
      <c r="D17" s="13">
        <f t="shared" si="2"/>
        <v>18832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1349</v>
      </c>
      <c r="D20" s="13">
        <f t="shared" si="2"/>
        <v>1349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5329</v>
      </c>
      <c r="D21" s="13">
        <f t="shared" si="2"/>
        <v>5329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49239</v>
      </c>
      <c r="D22" s="13">
        <f t="shared" si="2"/>
        <v>49239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28375</v>
      </c>
      <c r="D23" s="13">
        <f t="shared" si="2"/>
        <v>28375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201107</v>
      </c>
      <c r="D24" s="31">
        <f>SUM(D25:D27)</f>
        <v>201107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200290</v>
      </c>
      <c r="D25" s="13">
        <f t="shared" si="2"/>
        <v>200290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217</v>
      </c>
      <c r="D27" s="13">
        <f t="shared" si="2"/>
        <v>217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11955</v>
      </c>
      <c r="D32" s="13">
        <f t="shared" si="2"/>
        <v>11955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20</v>
      </c>
      <c r="D35" s="37">
        <f>C35</f>
        <v>20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54177</v>
      </c>
      <c r="D36" s="37">
        <f>C36</f>
        <v>54177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16042</v>
      </c>
      <c r="D37" s="37">
        <f>C37</f>
        <v>16042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281621</v>
      </c>
      <c r="D38" s="32">
        <f>D11+D13+D24+D30</f>
        <v>281621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787</v>
      </c>
      <c r="D40" s="33">
        <f>C40</f>
        <v>787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2205</v>
      </c>
      <c r="D41" s="33">
        <f t="shared" ref="D41:D59" si="3">C41</f>
        <v>2205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174</v>
      </c>
      <c r="D42" s="33">
        <f>D43+D45+D46+D47+D48+D49</f>
        <v>174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160</v>
      </c>
      <c r="D48" s="33">
        <f t="shared" si="3"/>
        <v>160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26</v>
      </c>
      <c r="D51" s="33">
        <f t="shared" si="3"/>
        <v>26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166</v>
      </c>
      <c r="D59" s="33">
        <f t="shared" si="3"/>
        <v>166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9423</v>
      </c>
      <c r="E60" s="83">
        <f t="shared" si="0"/>
        <v>1703</v>
      </c>
      <c r="F60" s="108">
        <f t="shared" si="1"/>
        <v>1.2205999999999999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C62+3323</f>
        <v>9023</v>
      </c>
      <c r="E62" s="29">
        <f t="shared" si="0"/>
        <v>3323</v>
      </c>
      <c r="F62" s="39">
        <f t="shared" si="1"/>
        <v>1.583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C64-1620</f>
        <v>400</v>
      </c>
      <c r="E64" s="29">
        <f t="shared" si="0"/>
        <v>-1620</v>
      </c>
      <c r="F64" s="39">
        <f t="shared" si="1"/>
        <v>0.19800000000000001</v>
      </c>
    </row>
    <row r="65" spans="1:6" ht="32.25" customHeight="1" x14ac:dyDescent="0.2">
      <c r="A65" s="94" t="s">
        <v>135</v>
      </c>
      <c r="B65" s="95" t="s">
        <v>114</v>
      </c>
      <c r="C65" s="107">
        <v>1238</v>
      </c>
      <c r="D65" s="107">
        <f>C65-207+50</f>
        <v>1081</v>
      </c>
      <c r="E65" s="83">
        <f t="shared" si="0"/>
        <v>-157</v>
      </c>
      <c r="F65" s="108">
        <f t="shared" si="1"/>
        <v>0.87319999999999998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E31" sqref="E3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4020362</v>
      </c>
      <c r="D6" s="102">
        <f>D7+D8+D9+D14+D15+D16+D17+D18+D19+D20+D21+D22+D23+D24+D28+D29+D31+D32+D33+D34</f>
        <v>4034186</v>
      </c>
      <c r="E6" s="83">
        <f>IF(C6=D6,"-",D6-C6)</f>
        <v>13824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538961</v>
      </c>
      <c r="D7" s="13">
        <f>C7</f>
        <v>538961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293575</v>
      </c>
      <c r="D8" s="13">
        <f>C8</f>
        <v>293575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2004594</v>
      </c>
      <c r="D9" s="13">
        <f>C9+13824</f>
        <v>2018418</v>
      </c>
      <c r="E9" s="38">
        <f t="shared" si="0"/>
        <v>13824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v>192335</v>
      </c>
      <c r="D10" s="13">
        <f t="shared" ref="D10:D34" si="2">C10</f>
        <v>192335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175767</v>
      </c>
      <c r="D11" s="13">
        <f t="shared" si="2"/>
        <v>175767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76689</v>
      </c>
      <c r="D12" s="13">
        <f t="shared" si="2"/>
        <v>76689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37646</v>
      </c>
      <c r="D13" s="13">
        <f t="shared" si="2"/>
        <v>37646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149209</v>
      </c>
      <c r="D15" s="13">
        <f t="shared" si="2"/>
        <v>149209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114313</v>
      </c>
      <c r="D16" s="13">
        <f t="shared" si="2"/>
        <v>114313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44884</v>
      </c>
      <c r="D17" s="13">
        <f t="shared" si="2"/>
        <v>44884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103857</v>
      </c>
      <c r="D22" s="13">
        <f t="shared" si="2"/>
        <v>103857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56447</v>
      </c>
      <c r="D23" s="13">
        <f t="shared" si="2"/>
        <v>56447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392552</v>
      </c>
      <c r="D24" s="31">
        <f>SUM(D25:D27)</f>
        <v>392552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389052</v>
      </c>
      <c r="D25" s="13">
        <f t="shared" si="2"/>
        <v>389052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111484</v>
      </c>
      <c r="D36" s="37">
        <f>C36</f>
        <v>111484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26759</v>
      </c>
      <c r="D37" s="37">
        <f>C37</f>
        <v>26759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605965</v>
      </c>
      <c r="D38" s="32">
        <f>D11+D13+D24+D30</f>
        <v>605965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5015</v>
      </c>
      <c r="E60" s="83">
        <f t="shared" si="0"/>
        <v>1015</v>
      </c>
      <c r="F60" s="108">
        <f t="shared" si="1"/>
        <v>1.2538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C62-2985</f>
        <v>15</v>
      </c>
      <c r="E62" s="29">
        <f t="shared" si="0"/>
        <v>-2985</v>
      </c>
      <c r="F62" s="39">
        <f t="shared" si="1"/>
        <v>5.0000000000000001E-3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C64+4000</f>
        <v>5000</v>
      </c>
      <c r="E64" s="29">
        <f t="shared" si="0"/>
        <v>4000</v>
      </c>
      <c r="F64" s="39">
        <f t="shared" si="1"/>
        <v>5</v>
      </c>
    </row>
    <row r="65" spans="1:6" ht="32.25" customHeight="1" x14ac:dyDescent="0.2">
      <c r="A65" s="94" t="s">
        <v>135</v>
      </c>
      <c r="B65" s="95" t="s">
        <v>114</v>
      </c>
      <c r="C65" s="107">
        <v>810</v>
      </c>
      <c r="D65" s="107">
        <f>C65-610</f>
        <v>200</v>
      </c>
      <c r="E65" s="83">
        <f t="shared" si="0"/>
        <v>-610</v>
      </c>
      <c r="F65" s="108">
        <f t="shared" si="1"/>
        <v>0.24690000000000001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E32" sqref="E3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2285875</v>
      </c>
      <c r="D6" s="102">
        <f>D7+D8+D9+D14+D15+D16+D17+D18+D19+D20+D21+D22+D23+D24+D28+D29+D31+D32+D33+D34</f>
        <v>2293725</v>
      </c>
      <c r="E6" s="83">
        <f>IF(C6=D6,"-",D6-C6)</f>
        <v>7850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305100</v>
      </c>
      <c r="D7" s="13">
        <f>C7</f>
        <v>305100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191325</v>
      </c>
      <c r="D8" s="13">
        <f>C8</f>
        <v>191325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1170078</v>
      </c>
      <c r="D9" s="13">
        <f>C9+7850</f>
        <v>1177928</v>
      </c>
      <c r="E9" s="38">
        <f t="shared" si="0"/>
        <v>7850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v>93128</v>
      </c>
      <c r="D10" s="13">
        <f t="shared" ref="D10:D34" si="2">C10</f>
        <v>93128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83965</v>
      </c>
      <c r="D11" s="13">
        <f t="shared" si="2"/>
        <v>83965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47056</v>
      </c>
      <c r="D12" s="13">
        <f t="shared" si="2"/>
        <v>47056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24019</v>
      </c>
      <c r="D13" s="13">
        <f t="shared" si="2"/>
        <v>24019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89200</v>
      </c>
      <c r="D14" s="13">
        <f t="shared" si="2"/>
        <v>89200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62500</v>
      </c>
      <c r="D15" s="13">
        <f t="shared" si="2"/>
        <v>62500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36500</v>
      </c>
      <c r="D16" s="13">
        <f t="shared" si="2"/>
        <v>36500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19400</v>
      </c>
      <c r="D17" s="13">
        <f t="shared" si="2"/>
        <v>19400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63800</v>
      </c>
      <c r="D18" s="13">
        <f t="shared" si="2"/>
        <v>63800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1555</v>
      </c>
      <c r="D20" s="13">
        <f t="shared" si="2"/>
        <v>1555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4850</v>
      </c>
      <c r="D21" s="13">
        <f t="shared" si="2"/>
        <v>4850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64800</v>
      </c>
      <c r="D22" s="13">
        <f t="shared" si="2"/>
        <v>64800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29600</v>
      </c>
      <c r="D23" s="13">
        <f t="shared" si="2"/>
        <v>29600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226367</v>
      </c>
      <c r="D24" s="31">
        <f>SUM(D25:D27)</f>
        <v>226367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224257</v>
      </c>
      <c r="D25" s="13">
        <f t="shared" si="2"/>
        <v>224257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560</v>
      </c>
      <c r="D27" s="13">
        <f t="shared" si="2"/>
        <v>560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</v>
      </c>
      <c r="D32" s="13">
        <f t="shared" si="2"/>
        <v>300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71925</v>
      </c>
      <c r="D36" s="37">
        <f>C36</f>
        <v>71925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16771</v>
      </c>
      <c r="D37" s="37">
        <f>C37</f>
        <v>16771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334351</v>
      </c>
      <c r="D38" s="32">
        <f>D11+D13+D24+D30</f>
        <v>334351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599</v>
      </c>
      <c r="D40" s="33">
        <f>C40</f>
        <v>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1100</v>
      </c>
      <c r="D41" s="33">
        <f t="shared" ref="D41:D59" si="3">C41</f>
        <v>1100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1760</v>
      </c>
      <c r="D53" s="33">
        <f t="shared" si="3"/>
        <v>1760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231</v>
      </c>
      <c r="D54" s="33">
        <f t="shared" si="3"/>
        <v>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326</v>
      </c>
      <c r="D56" s="33">
        <f t="shared" si="3"/>
        <v>326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145</v>
      </c>
      <c r="D59" s="33">
        <f t="shared" si="3"/>
        <v>145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1085</v>
      </c>
      <c r="E60" s="83">
        <f t="shared" si="0"/>
        <v>-1204</v>
      </c>
      <c r="F60" s="108">
        <f t="shared" si="1"/>
        <v>0.47399999999999998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C62-475</f>
        <v>635</v>
      </c>
      <c r="E62" s="29">
        <f t="shared" si="0"/>
        <v>-475</v>
      </c>
      <c r="F62" s="39">
        <f t="shared" si="1"/>
        <v>0.57210000000000005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C64-729</f>
        <v>450</v>
      </c>
      <c r="E64" s="29">
        <f t="shared" si="0"/>
        <v>-729</v>
      </c>
      <c r="F64" s="39">
        <f t="shared" si="1"/>
        <v>0.38169999999999998</v>
      </c>
    </row>
    <row r="65" spans="1:6" ht="32.25" customHeight="1" x14ac:dyDescent="0.2">
      <c r="A65" s="94" t="s">
        <v>135</v>
      </c>
      <c r="B65" s="95" t="s">
        <v>114</v>
      </c>
      <c r="C65" s="107">
        <v>372</v>
      </c>
      <c r="D65" s="107">
        <f>C65-132</f>
        <v>240</v>
      </c>
      <c r="E65" s="83">
        <f t="shared" si="0"/>
        <v>-132</v>
      </c>
      <c r="F65" s="108">
        <f t="shared" si="1"/>
        <v>0.6452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E30" sqref="E3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4400884</v>
      </c>
      <c r="D6" s="102">
        <f>D7+D8+D9+D14+D15+D16+D17+D18+D19+D20+D21+D22+D23+D24+D28+D29+D31+D32+D33+D34</f>
        <v>4415916</v>
      </c>
      <c r="E6" s="83">
        <f>IF(C6=D6,"-",D6-C6)</f>
        <v>15032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617768</v>
      </c>
      <c r="D7" s="13">
        <f>C7</f>
        <v>617768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339544</v>
      </c>
      <c r="D8" s="13">
        <f>C8</f>
        <v>339544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2196114</v>
      </c>
      <c r="D9" s="13">
        <f>C9+15032</f>
        <v>2211146</v>
      </c>
      <c r="E9" s="38">
        <f t="shared" si="0"/>
        <v>15032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v>218332</v>
      </c>
      <c r="D10" s="13">
        <f t="shared" ref="D10:D34" si="2">C10</f>
        <v>218332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201971</v>
      </c>
      <c r="D11" s="13">
        <f t="shared" si="2"/>
        <v>201971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84376</v>
      </c>
      <c r="D12" s="13">
        <f t="shared" si="2"/>
        <v>84376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47986</v>
      </c>
      <c r="D13" s="13">
        <f t="shared" si="2"/>
        <v>47986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121520</v>
      </c>
      <c r="D15" s="13">
        <f t="shared" si="2"/>
        <v>121520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52831</v>
      </c>
      <c r="D16" s="13">
        <f t="shared" si="2"/>
        <v>52831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41510</v>
      </c>
      <c r="D17" s="13">
        <f t="shared" si="2"/>
        <v>41510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132152</v>
      </c>
      <c r="D22" s="13">
        <f t="shared" si="2"/>
        <v>132152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525512</v>
      </c>
      <c r="D24" s="31">
        <f>SUM(D25:D27)</f>
        <v>525512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523815</v>
      </c>
      <c r="D25" s="13">
        <f t="shared" si="2"/>
        <v>523815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1099</v>
      </c>
      <c r="D32" s="13">
        <f t="shared" si="2"/>
        <v>1099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108713</v>
      </c>
      <c r="D36" s="37">
        <f>C36</f>
        <v>108713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34894</v>
      </c>
      <c r="D37" s="37">
        <f>C37</f>
        <v>34894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775469</v>
      </c>
      <c r="D38" s="32">
        <f>D11+D13+D24+D30</f>
        <v>775469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33148</v>
      </c>
      <c r="D39" s="87">
        <f>D40+D41+D42+D50+D52+D58+D59+D57</f>
        <v>33148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1549</v>
      </c>
      <c r="D40" s="33">
        <f>C40</f>
        <v>1549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3339</v>
      </c>
      <c r="D41" s="33">
        <f t="shared" ref="D41:D59" si="3">C41</f>
        <v>3339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19789</v>
      </c>
      <c r="D50" s="33">
        <f t="shared" si="3"/>
        <v>19789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84</v>
      </c>
      <c r="D51" s="33">
        <f t="shared" si="3"/>
        <v>84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4501</v>
      </c>
      <c r="D52" s="29">
        <f>D53+D54+D55+D56</f>
        <v>4501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3396</v>
      </c>
      <c r="D53" s="33">
        <f t="shared" si="3"/>
        <v>3396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486</v>
      </c>
      <c r="D54" s="33">
        <f t="shared" si="3"/>
        <v>486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619</v>
      </c>
      <c r="D56" s="33">
        <f t="shared" si="3"/>
        <v>619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235</v>
      </c>
      <c r="D59" s="33">
        <f t="shared" si="3"/>
        <v>235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1859</v>
      </c>
      <c r="E60" s="83">
        <f t="shared" si="0"/>
        <v>-6473</v>
      </c>
      <c r="F60" s="108">
        <f t="shared" si="1"/>
        <v>0.22309999999999999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C62-5273</f>
        <v>1000</v>
      </c>
      <c r="E62" s="29">
        <f t="shared" si="0"/>
        <v>-5273</v>
      </c>
      <c r="F62" s="39">
        <f t="shared" si="1"/>
        <v>0.15939999999999999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C64-1200</f>
        <v>800</v>
      </c>
      <c r="E64" s="29">
        <f t="shared" si="0"/>
        <v>-1200</v>
      </c>
      <c r="F64" s="39">
        <f t="shared" si="1"/>
        <v>0.4</v>
      </c>
    </row>
    <row r="65" spans="1:6" ht="32.25" customHeight="1" x14ac:dyDescent="0.2">
      <c r="A65" s="94" t="s">
        <v>135</v>
      </c>
      <c r="B65" s="95" t="s">
        <v>114</v>
      </c>
      <c r="C65" s="107">
        <v>3970</v>
      </c>
      <c r="D65" s="107">
        <f>C65-2970</f>
        <v>1000</v>
      </c>
      <c r="E65" s="83">
        <f t="shared" si="0"/>
        <v>-2970</v>
      </c>
      <c r="F65" s="108">
        <f t="shared" si="1"/>
        <v>0.25190000000000001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D6" sqref="D6:D93"/>
      <selection pane="topRight" activeCell="D6" sqref="D6:D93"/>
      <selection pane="bottomLeft" activeCell="D6" sqref="D6:D93"/>
      <selection pane="bottomRight" activeCell="D62" sqref="D6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9250669</v>
      </c>
      <c r="D6" s="102">
        <f>D7+D8+D9+D14+D15+D16+D17+D18+D19+D20+D21+D22+D23+D24+D28+D29+D31+D32+D33+D34</f>
        <v>9282231</v>
      </c>
      <c r="E6" s="83">
        <f>IF(C6=D6,"-",D6-C6)</f>
        <v>31562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1214388</v>
      </c>
      <c r="D7" s="13">
        <f>C7</f>
        <v>1214388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753998</v>
      </c>
      <c r="D8" s="13">
        <f>C8</f>
        <v>753998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4563615</v>
      </c>
      <c r="D9" s="13">
        <f>C9+31562</f>
        <v>4595177</v>
      </c>
      <c r="E9" s="38">
        <f t="shared" si="0"/>
        <v>31562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v>449136</v>
      </c>
      <c r="D10" s="13">
        <f t="shared" ref="D10:D34" si="2">C10</f>
        <v>449136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405637</v>
      </c>
      <c r="D11" s="13">
        <f t="shared" si="2"/>
        <v>405637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169299</v>
      </c>
      <c r="D12" s="13">
        <f t="shared" si="2"/>
        <v>169299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74143</v>
      </c>
      <c r="D13" s="13">
        <f t="shared" si="2"/>
        <v>74143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334521</v>
      </c>
      <c r="D14" s="13">
        <f t="shared" si="2"/>
        <v>334521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275782</v>
      </c>
      <c r="D15" s="13">
        <f t="shared" si="2"/>
        <v>275782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248587</v>
      </c>
      <c r="D16" s="13">
        <f t="shared" si="2"/>
        <v>248587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81905</v>
      </c>
      <c r="D17" s="13">
        <f t="shared" si="2"/>
        <v>81905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196654</v>
      </c>
      <c r="D18" s="13">
        <f t="shared" si="2"/>
        <v>196654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73300</v>
      </c>
      <c r="D19" s="13">
        <f t="shared" si="2"/>
        <v>73300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243543</v>
      </c>
      <c r="D22" s="13">
        <f t="shared" si="2"/>
        <v>243543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1047671</v>
      </c>
      <c r="D24" s="31">
        <f>SUM(D25:D27)</f>
        <v>1047671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1045774</v>
      </c>
      <c r="D25" s="13">
        <f t="shared" si="2"/>
        <v>1045774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21790</v>
      </c>
      <c r="D32" s="13">
        <f t="shared" si="2"/>
        <v>21790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7709</v>
      </c>
      <c r="D34" s="13">
        <f t="shared" si="2"/>
        <v>7709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228</v>
      </c>
      <c r="D35" s="37">
        <f>C35</f>
        <v>228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206284</v>
      </c>
      <c r="D36" s="37">
        <f>C36</f>
        <v>206284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70785</v>
      </c>
      <c r="D37" s="37">
        <f>C37</f>
        <v>70785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1527451</v>
      </c>
      <c r="D38" s="32">
        <f>D11+D13+D24+D30</f>
        <v>1527451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120</v>
      </c>
      <c r="D51" s="33">
        <f t="shared" si="3"/>
        <v>120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10907</v>
      </c>
      <c r="E60" s="83">
        <f t="shared" si="0"/>
        <v>7939</v>
      </c>
      <c r="F60" s="108">
        <f t="shared" si="1"/>
        <v>3.6749000000000001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C61-30</f>
        <v>250</v>
      </c>
      <c r="E61" s="29">
        <f t="shared" si="0"/>
        <v>-30</v>
      </c>
      <c r="F61" s="39">
        <f t="shared" si="1"/>
        <v>0.89290000000000003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C62+3829</f>
        <v>5657</v>
      </c>
      <c r="E62" s="29">
        <f t="shared" si="0"/>
        <v>3829</v>
      </c>
      <c r="F62" s="39">
        <f t="shared" si="1"/>
        <v>3.0945999999999998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C64+4140</f>
        <v>5000</v>
      </c>
      <c r="E64" s="29">
        <f t="shared" si="0"/>
        <v>4140</v>
      </c>
      <c r="F64" s="39">
        <f t="shared" si="1"/>
        <v>5.8140000000000001</v>
      </c>
    </row>
    <row r="65" spans="1:6" ht="32.25" customHeight="1" x14ac:dyDescent="0.2">
      <c r="A65" s="94" t="s">
        <v>135</v>
      </c>
      <c r="B65" s="95" t="s">
        <v>114</v>
      </c>
      <c r="C65" s="107">
        <v>1355</v>
      </c>
      <c r="D65" s="107">
        <f>C65+1596</f>
        <v>2951</v>
      </c>
      <c r="E65" s="83">
        <f t="shared" si="0"/>
        <v>1596</v>
      </c>
      <c r="F65" s="108">
        <f t="shared" si="1"/>
        <v>2.1779000000000002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5"/>
  <sheetViews>
    <sheetView showGridLines="0" view="pageBreakPreview" zoomScale="55" zoomScaleNormal="70" zoomScaleSheetLayoutView="55" workbookViewId="0">
      <pane ySplit="6" topLeftCell="A52" activePane="bottomLeft" state="frozen"/>
      <selection activeCell="D6" sqref="D6:D93"/>
      <selection pane="bottomLeft" activeCell="E89" sqref="E8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2530486</v>
      </c>
      <c r="D6" s="102">
        <f>D7+D8+D9+D14+D15+D16+D17+D18+D19+D20+D21+D22+D23+D24+D28+D29+D31+D32+D33+D34</f>
        <v>2539202</v>
      </c>
      <c r="E6" s="83">
        <f>IF(C6=D6,"-",D6-C6)</f>
        <v>8716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315973</v>
      </c>
      <c r="D7" s="13">
        <f>C7</f>
        <v>315973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168659</v>
      </c>
      <c r="D8" s="13">
        <f>C8</f>
        <v>168659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1300128</v>
      </c>
      <c r="D9" s="13">
        <f>C9+8716</f>
        <v>1308844</v>
      </c>
      <c r="E9" s="38">
        <f t="shared" si="0"/>
        <v>8716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v>114023</v>
      </c>
      <c r="D10" s="13">
        <f t="shared" ref="D10:D34" si="2">C10</f>
        <v>114023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99736</v>
      </c>
      <c r="D11" s="13">
        <f t="shared" si="2"/>
        <v>99736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55998</v>
      </c>
      <c r="D12" s="13">
        <f t="shared" si="2"/>
        <v>55998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27471</v>
      </c>
      <c r="D13" s="13">
        <f t="shared" si="2"/>
        <v>27471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57385</v>
      </c>
      <c r="D22" s="13">
        <f t="shared" si="2"/>
        <v>57385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34540</v>
      </c>
      <c r="D23" s="13">
        <f t="shared" si="2"/>
        <v>34540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267911</v>
      </c>
      <c r="D24" s="31">
        <f>SUM(D25:D27)</f>
        <v>267911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267071</v>
      </c>
      <c r="D25" s="13">
        <f t="shared" si="2"/>
        <v>267071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250</v>
      </c>
      <c r="D27" s="13">
        <f t="shared" si="2"/>
        <v>250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39413</v>
      </c>
      <c r="D32" s="13">
        <f t="shared" si="2"/>
        <v>39413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500</v>
      </c>
      <c r="D35" s="37">
        <f>C35</f>
        <v>500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59032</v>
      </c>
      <c r="D36" s="37">
        <f>C36</f>
        <v>59032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19516</v>
      </c>
      <c r="D37" s="37">
        <f>C37</f>
        <v>19516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395118</v>
      </c>
      <c r="D38" s="32">
        <f>D11+D13+D24+D30</f>
        <v>395118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17329</v>
      </c>
      <c r="D39" s="87">
        <f>D40+D41+D42+D50+D52+D58+D59+D57</f>
        <v>17329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619</v>
      </c>
      <c r="D40" s="33">
        <f>C40</f>
        <v>619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2175</v>
      </c>
      <c r="D41" s="33">
        <f t="shared" ref="D41:D59" si="3">C41</f>
        <v>2175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11176</v>
      </c>
      <c r="D50" s="33">
        <f t="shared" si="3"/>
        <v>11176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27</v>
      </c>
      <c r="D51" s="33">
        <f t="shared" si="3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2517</v>
      </c>
      <c r="D52" s="29">
        <f>D53+D54+D55+D56</f>
        <v>2517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1919</v>
      </c>
      <c r="D53" s="33">
        <f t="shared" si="3"/>
        <v>1919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275</v>
      </c>
      <c r="D54" s="33">
        <f t="shared" si="3"/>
        <v>275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839</v>
      </c>
      <c r="E60" s="83">
        <f t="shared" si="0"/>
        <v>-10000</v>
      </c>
      <c r="F60" s="108">
        <f t="shared" si="1"/>
        <v>7.7399999999999997E-2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C62-10000</f>
        <v>239</v>
      </c>
      <c r="E62" s="29">
        <f t="shared" si="0"/>
        <v>-10000</v>
      </c>
      <c r="F62" s="39">
        <f t="shared" si="1"/>
        <v>2.3300000000000001E-2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3885</v>
      </c>
      <c r="D65" s="107">
        <f>C65-3385</f>
        <v>500</v>
      </c>
      <c r="E65" s="83">
        <f t="shared" si="0"/>
        <v>-3385</v>
      </c>
      <c r="F65" s="108">
        <f t="shared" si="1"/>
        <v>0.12870000000000001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2649712</v>
      </c>
      <c r="D6" s="102">
        <f>D7+D8+D9+D14+D15+D16+D17+D18+D19+D20+D21+D22+D23+D24+D28+D29+D31+D32+D33+D34</f>
        <v>2658823</v>
      </c>
      <c r="E6" s="83">
        <f>IF(C6=D6,"-",D6-C6)</f>
        <v>9111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368178</v>
      </c>
      <c r="D7" s="13">
        <f>C7</f>
        <v>368178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202098</v>
      </c>
      <c r="D8" s="13">
        <f>C8</f>
        <v>202098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1317750</v>
      </c>
      <c r="D9" s="13">
        <f>C9+9111</f>
        <v>1326861</v>
      </c>
      <c r="E9" s="38">
        <f t="shared" si="0"/>
        <v>9111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v>107594</v>
      </c>
      <c r="D10" s="13">
        <f t="shared" ref="D10:D34" si="2">C10</f>
        <v>107594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98075</v>
      </c>
      <c r="D11" s="13">
        <f t="shared" si="2"/>
        <v>98075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44043</v>
      </c>
      <c r="D12" s="13">
        <f t="shared" si="2"/>
        <v>44043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20777</v>
      </c>
      <c r="D13" s="13">
        <f t="shared" si="2"/>
        <v>20777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98627</v>
      </c>
      <c r="D14" s="13">
        <f t="shared" si="2"/>
        <v>98627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76730</v>
      </c>
      <c r="D15" s="13">
        <f t="shared" si="2"/>
        <v>76730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43307</v>
      </c>
      <c r="D16" s="13">
        <f t="shared" si="2"/>
        <v>43307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22078</v>
      </c>
      <c r="D17" s="13">
        <f t="shared" si="2"/>
        <v>22078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83799</v>
      </c>
      <c r="D18" s="13">
        <f t="shared" si="2"/>
        <v>83799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74152</v>
      </c>
      <c r="D22" s="13">
        <f t="shared" si="2"/>
        <v>74152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35008</v>
      </c>
      <c r="D23" s="13">
        <f t="shared" si="2"/>
        <v>35008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284974</v>
      </c>
      <c r="D24" s="31">
        <f>SUM(D25:D27)</f>
        <v>284974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284304</v>
      </c>
      <c r="D25" s="13">
        <f t="shared" si="2"/>
        <v>284304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11968</v>
      </c>
      <c r="D32" s="13">
        <f t="shared" si="2"/>
        <v>11968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95131</v>
      </c>
      <c r="D36" s="37">
        <f>C36</f>
        <v>95131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19324</v>
      </c>
      <c r="D37" s="37">
        <f>C37</f>
        <v>19324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403826</v>
      </c>
      <c r="D38" s="32">
        <f>D11+D13+D24+D30</f>
        <v>403826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19510</v>
      </c>
      <c r="D39" s="87">
        <f>D40+D41+D42+D50+D52+D58+D59+D57</f>
        <v>19510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605</v>
      </c>
      <c r="D40" s="33">
        <f>C40</f>
        <v>605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2345</v>
      </c>
      <c r="D41" s="33">
        <f t="shared" ref="D41:D59" si="3">C41</f>
        <v>2345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136</v>
      </c>
      <c r="D42" s="33">
        <f>D43+D45+D46+D47+D48+D49</f>
        <v>136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</v>
      </c>
      <c r="D45" s="33">
        <f t="shared" si="3"/>
        <v>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2637</v>
      </c>
      <c r="E60" s="83">
        <f t="shared" si="0"/>
        <v>1691</v>
      </c>
      <c r="F60" s="108">
        <f t="shared" si="1"/>
        <v>2.7875000000000001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C62+1691</f>
        <v>1900</v>
      </c>
      <c r="E62" s="29">
        <f t="shared" si="0"/>
        <v>1691</v>
      </c>
      <c r="F62" s="39">
        <f t="shared" si="1"/>
        <v>9.0908999999999995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45</v>
      </c>
      <c r="D65" s="107">
        <f>C65+252</f>
        <v>297</v>
      </c>
      <c r="E65" s="83">
        <f t="shared" si="0"/>
        <v>252</v>
      </c>
      <c r="F65" s="108">
        <f t="shared" si="1"/>
        <v>6.6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F27" sqref="F27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6802830</v>
      </c>
      <c r="D6" s="102">
        <f>D7+D8+D9+D14+D15+D16+D17+D18+D19+D20+D21+D22+D23+D24+D28+D29+D31+D32+D33+D34</f>
        <v>6826180</v>
      </c>
      <c r="E6" s="83">
        <f>IF(C6=D6,"-",D6-C6)</f>
        <v>23350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942844</v>
      </c>
      <c r="D7" s="13">
        <f>C7</f>
        <v>942844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527368</v>
      </c>
      <c r="D8" s="13">
        <f>C8</f>
        <v>527368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3419238</v>
      </c>
      <c r="D9" s="13">
        <f>C9+23350</f>
        <v>3442588</v>
      </c>
      <c r="E9" s="38">
        <f t="shared" si="0"/>
        <v>23350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v>324340</v>
      </c>
      <c r="D10" s="13">
        <f t="shared" ref="D10:D34" si="2">C10</f>
        <v>324340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299902</v>
      </c>
      <c r="D11" s="13">
        <f t="shared" si="2"/>
        <v>299902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132218</v>
      </c>
      <c r="D12" s="13">
        <f t="shared" si="2"/>
        <v>132218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63294</v>
      </c>
      <c r="D13" s="13">
        <f t="shared" si="2"/>
        <v>63294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231238</v>
      </c>
      <c r="D14" s="13">
        <f t="shared" si="2"/>
        <v>231238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187293</v>
      </c>
      <c r="D15" s="13">
        <f t="shared" si="2"/>
        <v>187293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87978</v>
      </c>
      <c r="D16" s="13">
        <f t="shared" si="2"/>
        <v>87978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62823</v>
      </c>
      <c r="D17" s="13">
        <f t="shared" si="2"/>
        <v>62823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149436</v>
      </c>
      <c r="D18" s="13">
        <f t="shared" si="2"/>
        <v>149436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88000</v>
      </c>
      <c r="D23" s="13">
        <f t="shared" si="2"/>
        <v>88000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776000</v>
      </c>
      <c r="D24" s="31">
        <f>SUM(D25:D27)</f>
        <v>776000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773000</v>
      </c>
      <c r="D25" s="13">
        <f t="shared" si="2"/>
        <v>773000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25332</v>
      </c>
      <c r="D32" s="13">
        <f t="shared" si="2"/>
        <v>25332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133</v>
      </c>
      <c r="D35" s="37">
        <f>C35</f>
        <v>133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151417</v>
      </c>
      <c r="D36" s="37">
        <f>C36</f>
        <v>151417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46347</v>
      </c>
      <c r="D37" s="37">
        <f>C37</f>
        <v>46347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1139196</v>
      </c>
      <c r="D38" s="32">
        <f>D11+D13+D24+D30</f>
        <v>1139196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9101</v>
      </c>
      <c r="E60" s="83">
        <f t="shared" si="0"/>
        <v>-12149</v>
      </c>
      <c r="F60" s="108">
        <f t="shared" si="1"/>
        <v>0.42830000000000001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C62-11699</f>
        <v>8301</v>
      </c>
      <c r="E62" s="29">
        <f t="shared" si="0"/>
        <v>-11699</v>
      </c>
      <c r="F62" s="39">
        <f t="shared" si="1"/>
        <v>0.41510000000000002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v>750</v>
      </c>
      <c r="E64" s="29">
        <f t="shared" si="0"/>
        <v>-450</v>
      </c>
      <c r="F64" s="39">
        <f t="shared" si="1"/>
        <v>0.625</v>
      </c>
    </row>
    <row r="65" spans="1:6" ht="32.25" customHeight="1" x14ac:dyDescent="0.2">
      <c r="A65" s="94" t="s">
        <v>135</v>
      </c>
      <c r="B65" s="95" t="s">
        <v>114</v>
      </c>
      <c r="C65" s="107">
        <v>3200</v>
      </c>
      <c r="D65" s="107">
        <f>C65+1930</f>
        <v>5130</v>
      </c>
      <c r="E65" s="83">
        <f t="shared" si="0"/>
        <v>1930</v>
      </c>
      <c r="F65" s="108">
        <f t="shared" si="1"/>
        <v>1.6031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X24" sqref="X24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3296962</v>
      </c>
      <c r="D6" s="102">
        <f>D7+D8+D9+D14+D15+D16+D17+D18+D19+D20+D21+D22+D23+D24+D28+D29+D31+D32+D33+D34</f>
        <v>3308221</v>
      </c>
      <c r="E6" s="83">
        <f>IF(C6=D6,"-",D6-C6)</f>
        <v>11259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439088</v>
      </c>
      <c r="D7" s="13">
        <f>C7</f>
        <v>439088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254124</v>
      </c>
      <c r="D8" s="13">
        <f>C8</f>
        <v>254124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1668330</v>
      </c>
      <c r="D9" s="13">
        <f>C9+11259</f>
        <v>1679589</v>
      </c>
      <c r="E9" s="38">
        <f t="shared" si="0"/>
        <v>11259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v>130569</v>
      </c>
      <c r="D10" s="13">
        <f t="shared" ref="D10:D34" si="2">C10</f>
        <v>130569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119099</v>
      </c>
      <c r="D11" s="13">
        <f t="shared" si="2"/>
        <v>119099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60803</v>
      </c>
      <c r="D12" s="13">
        <f t="shared" si="2"/>
        <v>60803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27424</v>
      </c>
      <c r="D13" s="13">
        <f t="shared" si="2"/>
        <v>27424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102752</v>
      </c>
      <c r="D14" s="13">
        <f t="shared" si="2"/>
        <v>102752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77490</v>
      </c>
      <c r="D15" s="13">
        <f t="shared" si="2"/>
        <v>77490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46776</v>
      </c>
      <c r="D16" s="13">
        <f t="shared" si="2"/>
        <v>46776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17261</v>
      </c>
      <c r="D17" s="13">
        <f t="shared" si="2"/>
        <v>17261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83579</v>
      </c>
      <c r="D18" s="13">
        <f t="shared" si="2"/>
        <v>83579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27564</v>
      </c>
      <c r="D19" s="13">
        <f t="shared" si="2"/>
        <v>27564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146491</v>
      </c>
      <c r="D22" s="13">
        <f t="shared" si="2"/>
        <v>146491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42300</v>
      </c>
      <c r="D23" s="13">
        <f t="shared" si="2"/>
        <v>42300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375924</v>
      </c>
      <c r="D24" s="31">
        <f>SUM(D25:D27)</f>
        <v>375924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375164</v>
      </c>
      <c r="D25" s="13">
        <f t="shared" si="2"/>
        <v>375164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874</v>
      </c>
      <c r="D32" s="13">
        <f t="shared" si="2"/>
        <v>874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890</v>
      </c>
      <c r="D35" s="37">
        <f>C35</f>
        <v>890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24176</v>
      </c>
      <c r="D37" s="37">
        <f>C37</f>
        <v>24176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522447</v>
      </c>
      <c r="D38" s="32">
        <f>D11+D13+D24+D30</f>
        <v>522447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22821</v>
      </c>
      <c r="D39" s="87">
        <f>D40+D41+D42+D50+D52+D58+D59+D57</f>
        <v>22821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870</v>
      </c>
      <c r="D40" s="33">
        <f>C40</f>
        <v>870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2745</v>
      </c>
      <c r="D41" s="33">
        <f t="shared" ref="D41:D59" si="3">C41</f>
        <v>2745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230</v>
      </c>
      <c r="D42" s="33">
        <f>D43+D45+D46+D47+D48+D49</f>
        <v>230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142</v>
      </c>
      <c r="D48" s="33">
        <f t="shared" si="3"/>
        <v>142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3089</v>
      </c>
      <c r="D52" s="29">
        <f>D53+D54+D55+D56</f>
        <v>3089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393</v>
      </c>
      <c r="D56" s="33">
        <f t="shared" si="3"/>
        <v>393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1999</v>
      </c>
      <c r="D58" s="33">
        <f t="shared" si="3"/>
        <v>1999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585</v>
      </c>
      <c r="E60" s="83">
        <f t="shared" si="0"/>
        <v>-371</v>
      </c>
      <c r="F60" s="108">
        <f t="shared" si="1"/>
        <v>0.6119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C62+28</f>
        <v>28</v>
      </c>
      <c r="E62" s="29">
        <f t="shared" si="0"/>
        <v>28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C64-399</f>
        <v>557</v>
      </c>
      <c r="E64" s="29">
        <f t="shared" si="0"/>
        <v>-399</v>
      </c>
      <c r="F64" s="39">
        <f t="shared" si="1"/>
        <v>0.58260000000000001</v>
      </c>
    </row>
    <row r="65" spans="1:6" ht="32.25" customHeight="1" x14ac:dyDescent="0.2">
      <c r="A65" s="94" t="s">
        <v>135</v>
      </c>
      <c r="B65" s="95" t="s">
        <v>114</v>
      </c>
      <c r="C65" s="107">
        <v>66</v>
      </c>
      <c r="D65" s="107">
        <f>C65+16</f>
        <v>82</v>
      </c>
      <c r="E65" s="83">
        <f t="shared" si="0"/>
        <v>16</v>
      </c>
      <c r="F65" s="108">
        <f t="shared" si="1"/>
        <v>1.2423999999999999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D6" sqref="D6:D93"/>
      <selection pane="topRight" activeCell="D6" sqref="D6:D93"/>
      <selection pane="bottomLeft" activeCell="D6" sqref="D6:D93"/>
      <selection pane="bottomRight" activeCell="B61" sqref="B6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595092</v>
      </c>
      <c r="D6" s="102">
        <f>D7+D8+D9+D14+D15+D16+D17+D18+D19+D20+D21+D22+D23+D24+D28+D29+D31+D32+D33+D34</f>
        <v>595092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50000</v>
      </c>
      <c r="D33" s="13">
        <f t="shared" si="2"/>
        <v>50000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40.5" x14ac:dyDescent="0.2">
      <c r="A37" s="52" t="s">
        <v>192</v>
      </c>
      <c r="B37" s="17" t="s">
        <v>193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233968</v>
      </c>
      <c r="D39" s="87">
        <f>D40+D41+D42+D50+D52+D58+D59+D57</f>
        <v>233968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3632</v>
      </c>
      <c r="D40" s="33">
        <f>C40</f>
        <v>3632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116349</v>
      </c>
      <c r="D41" s="33">
        <f t="shared" ref="D41:D59" si="3">C41</f>
        <v>116349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37918</v>
      </c>
      <c r="D50" s="33">
        <f t="shared" si="3"/>
        <v>37918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358</v>
      </c>
      <c r="D51" s="33">
        <f t="shared" si="3"/>
        <v>358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9399</v>
      </c>
      <c r="D52" s="29">
        <f>D53+D54+D55+D56</f>
        <v>9399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6519</v>
      </c>
      <c r="D53" s="33">
        <f t="shared" si="3"/>
        <v>6519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930</v>
      </c>
      <c r="D54" s="33">
        <f t="shared" si="3"/>
        <v>930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1950</v>
      </c>
      <c r="D56" s="33">
        <f t="shared" si="3"/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64000</v>
      </c>
      <c r="D58" s="33">
        <f t="shared" si="3"/>
        <v>64000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1907</v>
      </c>
      <c r="D59" s="33">
        <f t="shared" si="3"/>
        <v>1907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41220</v>
      </c>
      <c r="E60" s="83">
        <f t="shared" si="0"/>
        <v>33665</v>
      </c>
      <c r="F60" s="108">
        <f t="shared" si="1"/>
        <v>5.4560000000000004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C61-335</f>
        <v>540</v>
      </c>
      <c r="E61" s="29">
        <f t="shared" si="0"/>
        <v>-335</v>
      </c>
      <c r="F61" s="39">
        <f t="shared" si="1"/>
        <v>0.61709999999999998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C62-500</f>
        <v>680</v>
      </c>
      <c r="E62" s="29">
        <f t="shared" si="0"/>
        <v>-500</v>
      </c>
      <c r="F62" s="39">
        <f t="shared" si="1"/>
        <v>0.57630000000000003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C64+34500</f>
        <v>40000</v>
      </c>
      <c r="E64" s="29">
        <f t="shared" si="0"/>
        <v>34500</v>
      </c>
      <c r="F64" s="39">
        <f t="shared" si="1"/>
        <v>7.2727000000000004</v>
      </c>
    </row>
    <row r="65" spans="1:6" ht="32.25" customHeight="1" x14ac:dyDescent="0.2">
      <c r="A65" s="94" t="s">
        <v>135</v>
      </c>
      <c r="B65" s="95" t="s">
        <v>114</v>
      </c>
      <c r="C65" s="107">
        <v>30182</v>
      </c>
      <c r="D65" s="107">
        <f>C65-10182-50</f>
        <v>19950</v>
      </c>
      <c r="E65" s="83">
        <f t="shared" si="0"/>
        <v>-10232</v>
      </c>
      <c r="F65" s="108">
        <f t="shared" si="1"/>
        <v>0.66100000000000003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46" activePane="bottomRight" state="frozen"/>
      <selection activeCell="D6" sqref="D6:D93"/>
      <selection pane="topRight" activeCell="D6" sqref="D6:D93"/>
      <selection pane="bottomLeft" activeCell="D6" sqref="D6:D93"/>
      <selection pane="bottomRight" activeCell="D79" sqref="D7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75804376</v>
      </c>
      <c r="D6" s="102">
        <f>D7+D8+D9+D14+D15+D16+D17+D18+D19+D20+D21+D22+D23+D24+D28+D29+D31+D32+D33+D34</f>
        <v>76063934</v>
      </c>
      <c r="E6" s="83">
        <f>IF(C6=D6,"-",D6-C6)</f>
        <v>259558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10170509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10170509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5636323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5636323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38480221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38739779</v>
      </c>
      <c r="E9" s="38">
        <f t="shared" si="0"/>
        <v>259558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3624798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3624798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3294212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3294212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1438758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1438758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675753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675753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2685552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2685552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2319811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2319811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1437581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1437581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663523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663523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1834124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1834124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660225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660225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49282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49282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196199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196199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2098096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2098096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1029387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1029387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8286218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8286218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8251475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8251475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20477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14266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14266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221495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221495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35830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35830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2804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2804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1923442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1923442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12256183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12256183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519194</v>
      </c>
      <c r="D39" s="87">
        <f>D40+D41+D42+D50+D52+D58+D59+D57</f>
        <v>519194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22205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22205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69284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69284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3969</v>
      </c>
      <c r="D42" s="33">
        <f>D43+D45+D46+D47+D48+D49</f>
        <v>3969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586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2591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2591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303174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303174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825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825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68236</v>
      </c>
      <c r="D52" s="29">
        <f>D53+D54+D55+D56</f>
        <v>68236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51871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7235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7235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9130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9130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48061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48061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4265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4265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193814</v>
      </c>
      <c r="E60" s="83">
        <f t="shared" si="0"/>
        <v>-32307</v>
      </c>
      <c r="F60" s="108">
        <f t="shared" si="1"/>
        <v>0.85709999999999997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359</v>
      </c>
      <c r="E61" s="29">
        <f t="shared" si="0"/>
        <v>-35</v>
      </c>
      <c r="F61" s="39">
        <f t="shared" si="1"/>
        <v>0.91120000000000001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162759</v>
      </c>
      <c r="E62" s="29">
        <f t="shared" si="0"/>
        <v>-28399</v>
      </c>
      <c r="F62" s="39">
        <f t="shared" si="1"/>
        <v>0.85140000000000005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30696</v>
      </c>
      <c r="E64" s="29">
        <f t="shared" si="0"/>
        <v>-3873</v>
      </c>
      <c r="F64" s="39">
        <f t="shared" si="1"/>
        <v>0.88800000000000001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48906</v>
      </c>
      <c r="E65" s="83">
        <f t="shared" si="0"/>
        <v>-6965</v>
      </c>
      <c r="F65" s="108">
        <f t="shared" si="1"/>
        <v>0.87529999999999997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5"/>
  <sheetViews>
    <sheetView showGridLines="0" view="pageBreakPreview" zoomScale="55" zoomScaleNormal="70" zoomScaleSheetLayoutView="55" workbookViewId="0">
      <pane ySplit="6" topLeftCell="A49" activePane="bottomLeft" state="frozen"/>
      <selection activeCell="D6" sqref="D6:D93"/>
      <selection pane="bottomLeft" activeCell="B62" sqref="B6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5686302</v>
      </c>
      <c r="D6" s="102">
        <f>D7+D8+D9+D14+D15+D16+D17+D18+D19+D20+D21+D22+D23+D24+D28+D29+D31+D32+D33+D34</f>
        <v>5705771</v>
      </c>
      <c r="E6" s="83">
        <f>IF(C6=D6,"-",D6-C6)</f>
        <v>19469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762998</v>
      </c>
      <c r="D7" s="13">
        <f>C7</f>
        <v>762998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423209</v>
      </c>
      <c r="D8" s="13">
        <f>C8</f>
        <v>423209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2875226</v>
      </c>
      <c r="D9" s="13">
        <f>C9+19469</f>
        <v>2894695</v>
      </c>
      <c r="E9" s="38">
        <f t="shared" si="0"/>
        <v>19469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v>281712</v>
      </c>
      <c r="D10" s="13">
        <f t="shared" ref="D10:D12" si="2">C10</f>
        <v>281712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257192</v>
      </c>
      <c r="D11" s="13">
        <f t="shared" si="2"/>
        <v>257192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116591</v>
      </c>
      <c r="D12" s="13">
        <f t="shared" si="2"/>
        <v>116591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50995</v>
      </c>
      <c r="D13" s="13">
        <f t="shared" ref="D13:D34" si="3">C13</f>
        <v>50995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209651</v>
      </c>
      <c r="D14" s="13">
        <f t="shared" si="3"/>
        <v>209651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180579</v>
      </c>
      <c r="D15" s="13">
        <f t="shared" si="3"/>
        <v>180579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120014</v>
      </c>
      <c r="D16" s="13">
        <f t="shared" si="3"/>
        <v>120014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62744</v>
      </c>
      <c r="D17" s="13">
        <f t="shared" si="3"/>
        <v>62744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141045</v>
      </c>
      <c r="D22" s="13">
        <f t="shared" si="3"/>
        <v>141045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84300</v>
      </c>
      <c r="D23" s="13">
        <f t="shared" si="3"/>
        <v>84300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145215</v>
      </c>
      <c r="D36" s="37">
        <f>C36</f>
        <v>145215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43362</v>
      </c>
      <c r="D37" s="37">
        <f>C37</f>
        <v>43362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918948</v>
      </c>
      <c r="D38" s="32">
        <f>D11+D13+D24+D30</f>
        <v>918948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36700</v>
      </c>
      <c r="D39" s="87">
        <f>D40+D41+D42+D50+D52+D58+D59+D57</f>
        <v>36700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4690</v>
      </c>
      <c r="D41" s="33">
        <f t="shared" ref="D41:D59" si="4">C41</f>
        <v>4690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6301</v>
      </c>
      <c r="E60" s="83">
        <f t="shared" si="0"/>
        <v>-10404</v>
      </c>
      <c r="F60" s="108">
        <f t="shared" si="1"/>
        <v>0.37719999999999998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C62-11891</f>
        <v>3154</v>
      </c>
      <c r="E62" s="29">
        <f t="shared" si="0"/>
        <v>-11891</v>
      </c>
      <c r="F62" s="39">
        <f t="shared" si="1"/>
        <v>0.20960000000000001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C64+1487</f>
        <v>3147</v>
      </c>
      <c r="E64" s="29">
        <f t="shared" si="0"/>
        <v>1487</v>
      </c>
      <c r="F64" s="39">
        <f t="shared" si="1"/>
        <v>1.8957999999999999</v>
      </c>
    </row>
    <row r="65" spans="1:6" ht="32.25" customHeight="1" x14ac:dyDescent="0.2">
      <c r="A65" s="94" t="s">
        <v>135</v>
      </c>
      <c r="B65" s="95" t="s">
        <v>114</v>
      </c>
      <c r="C65" s="107">
        <v>1981</v>
      </c>
      <c r="D65" s="107">
        <f>C65+548</f>
        <v>2529</v>
      </c>
      <c r="E65" s="83">
        <f t="shared" si="0"/>
        <v>548</v>
      </c>
      <c r="F65" s="108">
        <f t="shared" si="1"/>
        <v>1.2766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B30" sqref="B3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4071726</v>
      </c>
      <c r="D6" s="102">
        <f>D7+D8+D9+D14+D15+D16+D17+D18+D19+D20+D21+D22+D23+D24+D28+D29+D31+D32+D33+D34</f>
        <v>4085707</v>
      </c>
      <c r="E6" s="83">
        <f>IF(C6=D6,"-",D6-C6)</f>
        <v>13981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549600</v>
      </c>
      <c r="D7" s="13">
        <f>C7</f>
        <v>549600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284581</v>
      </c>
      <c r="D8" s="13">
        <f>C8</f>
        <v>284581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2073217</v>
      </c>
      <c r="D9" s="13">
        <f>C9+13981</f>
        <v>2087198</v>
      </c>
      <c r="E9" s="38">
        <f t="shared" si="0"/>
        <v>13981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v>170807</v>
      </c>
      <c r="D10" s="13">
        <f t="shared" ref="D10:D34" si="2">C10</f>
        <v>170807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154647</v>
      </c>
      <c r="D11" s="13">
        <f t="shared" si="2"/>
        <v>154647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69836</v>
      </c>
      <c r="D12" s="13">
        <f t="shared" si="2"/>
        <v>69836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141017</v>
      </c>
      <c r="D14" s="13">
        <f t="shared" si="2"/>
        <v>141017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105153</v>
      </c>
      <c r="D15" s="13">
        <f t="shared" si="2"/>
        <v>105153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64633</v>
      </c>
      <c r="D16" s="13">
        <f t="shared" si="2"/>
        <v>64633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42467</v>
      </c>
      <c r="D17" s="13">
        <f t="shared" si="2"/>
        <v>42467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98133</v>
      </c>
      <c r="D18" s="13">
        <f t="shared" si="2"/>
        <v>98133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2977</v>
      </c>
      <c r="D20" s="13">
        <f t="shared" si="2"/>
        <v>2977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11930</v>
      </c>
      <c r="D21" s="13">
        <f t="shared" si="2"/>
        <v>11930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109824</v>
      </c>
      <c r="D22" s="13">
        <f t="shared" si="2"/>
        <v>109824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54546</v>
      </c>
      <c r="D23" s="13">
        <f t="shared" si="2"/>
        <v>54546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475111</v>
      </c>
      <c r="D24" s="31">
        <f>SUM(D25:D27)</f>
        <v>475111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474078</v>
      </c>
      <c r="D25" s="13">
        <f t="shared" si="2"/>
        <v>474078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23110</v>
      </c>
      <c r="D32" s="13">
        <f t="shared" si="2"/>
        <v>23110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112602</v>
      </c>
      <c r="D36" s="37">
        <f>C36</f>
        <v>112602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32592</v>
      </c>
      <c r="D37" s="37">
        <f>C37</f>
        <v>32592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663596</v>
      </c>
      <c r="D38" s="32">
        <f>D11+D13+D24+D30</f>
        <v>663596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31600</v>
      </c>
      <c r="D39" s="87">
        <f>D40+D41+D42+D50+D52+D58+D59+D57</f>
        <v>31600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4502</v>
      </c>
      <c r="D41" s="33">
        <f t="shared" ref="D41:D59" si="3">C41</f>
        <v>4502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32409</v>
      </c>
      <c r="E60" s="83">
        <f t="shared" si="0"/>
        <v>-13092</v>
      </c>
      <c r="F60" s="108">
        <f t="shared" si="1"/>
        <v>0.71230000000000004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C62-7060</f>
        <v>31541</v>
      </c>
      <c r="E62" s="29">
        <f t="shared" si="0"/>
        <v>-7060</v>
      </c>
      <c r="F62" s="39">
        <f t="shared" si="1"/>
        <v>0.81710000000000005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C64-6032</f>
        <v>868</v>
      </c>
      <c r="E64" s="29">
        <f t="shared" si="0"/>
        <v>-6032</v>
      </c>
      <c r="F64" s="39">
        <f t="shared" si="1"/>
        <v>0.1258</v>
      </c>
    </row>
    <row r="65" spans="1:6" ht="32.25" customHeight="1" x14ac:dyDescent="0.2">
      <c r="A65" s="94" t="s">
        <v>135</v>
      </c>
      <c r="B65" s="95" t="s">
        <v>114</v>
      </c>
      <c r="C65" s="107">
        <v>18259</v>
      </c>
      <c r="D65" s="107">
        <f>C65-4524</f>
        <v>13735</v>
      </c>
      <c r="E65" s="83">
        <f t="shared" si="0"/>
        <v>-4524</v>
      </c>
      <c r="F65" s="108">
        <f t="shared" si="1"/>
        <v>0.75219999999999998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5"/>
  <sheetViews>
    <sheetView showGridLines="0" tabSelected="1" view="pageBreakPreview" zoomScale="55" zoomScaleNormal="70" zoomScaleSheetLayoutView="55" workbookViewId="0">
      <pane xSplit="2" ySplit="6" topLeftCell="C40" activePane="bottomRight" state="frozen"/>
      <selection activeCell="D6" sqref="D6:D93"/>
      <selection pane="topRight" activeCell="D6" sqref="D6:D93"/>
      <selection pane="bottomLeft" activeCell="D6" sqref="D6:D93"/>
      <selection pane="bottomRight" activeCell="B30" sqref="B3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4265320</v>
      </c>
      <c r="D6" s="102">
        <f>D7+D8+D9+D14+D15+D16+D17+D18+D19+D20+D21+D22+D23+D24+D28+D29+D31+D32+D33+D34</f>
        <v>4279996</v>
      </c>
      <c r="E6" s="83">
        <f>IF(C6=D6,"-",D6-C6)</f>
        <v>14676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558216</v>
      </c>
      <c r="D7" s="13">
        <f>C7</f>
        <v>558216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291428</v>
      </c>
      <c r="D8" s="13">
        <f>C8</f>
        <v>291428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2166002</v>
      </c>
      <c r="D9" s="13">
        <f>C9+14676</f>
        <v>2180678</v>
      </c>
      <c r="E9" s="38">
        <f t="shared" si="0"/>
        <v>14676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v>177352</v>
      </c>
      <c r="D10" s="13">
        <f t="shared" ref="D10:D34" si="2">C10</f>
        <v>177352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159770</v>
      </c>
      <c r="D11" s="13">
        <f t="shared" si="2"/>
        <v>159770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93461</v>
      </c>
      <c r="D12" s="13">
        <f t="shared" si="2"/>
        <v>93461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40723</v>
      </c>
      <c r="D13" s="13">
        <f t="shared" si="2"/>
        <v>40723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163626</v>
      </c>
      <c r="D14" s="13">
        <f t="shared" si="2"/>
        <v>163626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78482</v>
      </c>
      <c r="D16" s="13">
        <f t="shared" si="2"/>
        <v>78482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28947</v>
      </c>
      <c r="D17" s="13">
        <f t="shared" si="2"/>
        <v>28947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42042</v>
      </c>
      <c r="D19" s="13">
        <f t="shared" si="2"/>
        <v>42042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136438</v>
      </c>
      <c r="D22" s="13">
        <f t="shared" si="2"/>
        <v>136438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54913</v>
      </c>
      <c r="D23" s="13">
        <f t="shared" si="2"/>
        <v>54913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29357</v>
      </c>
      <c r="D37" s="37">
        <f>C37</f>
        <v>29357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663081</v>
      </c>
      <c r="D38" s="32">
        <f>D11+D13+D24+D30</f>
        <v>663081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25683</v>
      </c>
      <c r="D39" s="87">
        <f>D40+D41+D42+D50+D52+D58+D59+D57</f>
        <v>25683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903</v>
      </c>
      <c r="D40" s="33">
        <f>C40</f>
        <v>903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1730</v>
      </c>
      <c r="D58" s="33">
        <f t="shared" si="3"/>
        <v>1730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345</v>
      </c>
      <c r="D59" s="33">
        <f t="shared" si="3"/>
        <v>345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46505</v>
      </c>
      <c r="E60" s="83">
        <f t="shared" si="0"/>
        <v>4800</v>
      </c>
      <c r="F60" s="108">
        <f t="shared" si="1"/>
        <v>1.1151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C61-5</f>
        <v>0</v>
      </c>
      <c r="E61" s="29">
        <f t="shared" si="0"/>
        <v>-5</v>
      </c>
      <c r="F61" s="39">
        <f t="shared" si="1"/>
        <v>0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C62+5500</f>
        <v>46000</v>
      </c>
      <c r="E62" s="29">
        <f t="shared" si="0"/>
        <v>5500</v>
      </c>
      <c r="F62" s="39">
        <f t="shared" si="1"/>
        <v>1.1357999999999999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C64-695</f>
        <v>505</v>
      </c>
      <c r="E64" s="29">
        <f t="shared" si="0"/>
        <v>-695</v>
      </c>
      <c r="F64" s="39">
        <f t="shared" si="1"/>
        <v>0.42080000000000001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C65-4800</f>
        <v>200</v>
      </c>
      <c r="E65" s="83">
        <f t="shared" si="0"/>
        <v>-4800</v>
      </c>
      <c r="F65" s="108">
        <f t="shared" si="1"/>
        <v>0.04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B28" sqref="B28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1941057</v>
      </c>
      <c r="D6" s="102">
        <f>D7+D8+D9+D14+D15+D16+D17+D18+D19+D20+D21+D22+D23+D24+D28+D29+D31+D32+D33+D34</f>
        <v>1947730</v>
      </c>
      <c r="E6" s="83">
        <f>IF(C6=D6,"-",D6-C6)</f>
        <v>6673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265273</v>
      </c>
      <c r="D7" s="13">
        <f>C7</f>
        <v>265273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150351</v>
      </c>
      <c r="D8" s="13">
        <f>C8</f>
        <v>150351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965541</v>
      </c>
      <c r="D9" s="13">
        <f>C9+6673</f>
        <v>972214</v>
      </c>
      <c r="E9" s="38">
        <f t="shared" si="0"/>
        <v>6673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37566</v>
      </c>
      <c r="D12" s="13">
        <f t="shared" si="2"/>
        <v>37566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100600</v>
      </c>
      <c r="D14" s="13">
        <f t="shared" si="2"/>
        <v>100600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55567</v>
      </c>
      <c r="D15" s="13">
        <f t="shared" si="2"/>
        <v>55567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29314</v>
      </c>
      <c r="D16" s="13">
        <f t="shared" si="2"/>
        <v>29314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16918</v>
      </c>
      <c r="D17" s="13">
        <f t="shared" si="2"/>
        <v>16918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40702</v>
      </c>
      <c r="D18" s="13">
        <f t="shared" si="2"/>
        <v>40702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55869</v>
      </c>
      <c r="D22" s="13">
        <f t="shared" si="2"/>
        <v>55869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10238</v>
      </c>
      <c r="D32" s="13">
        <f t="shared" si="2"/>
        <v>10238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13137</v>
      </c>
      <c r="D37" s="37">
        <f>C37</f>
        <v>13137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2103</v>
      </c>
      <c r="D41" s="33">
        <f t="shared" ref="D41:D59" si="3">C41</f>
        <v>2103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2112</v>
      </c>
      <c r="D52" s="29">
        <f>D53+D54+D55+D56</f>
        <v>2112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328</v>
      </c>
      <c r="D56" s="33">
        <f t="shared" si="3"/>
        <v>328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2865</v>
      </c>
      <c r="E60" s="83">
        <f t="shared" si="0"/>
        <v>-1725</v>
      </c>
      <c r="F60" s="108">
        <f t="shared" si="1"/>
        <v>0.62419999999999998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C62-1815</f>
        <v>1915</v>
      </c>
      <c r="E62" s="29">
        <f t="shared" si="0"/>
        <v>-1815</v>
      </c>
      <c r="F62" s="39">
        <f t="shared" si="1"/>
        <v>0.51339999999999997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C64+90</f>
        <v>950</v>
      </c>
      <c r="E64" s="29">
        <f t="shared" si="0"/>
        <v>90</v>
      </c>
      <c r="F64" s="39">
        <f t="shared" si="1"/>
        <v>1.1047</v>
      </c>
    </row>
    <row r="65" spans="1:6" ht="32.25" customHeight="1" x14ac:dyDescent="0.2">
      <c r="A65" s="94" t="s">
        <v>135</v>
      </c>
      <c r="B65" s="95" t="s">
        <v>114</v>
      </c>
      <c r="C65" s="107">
        <v>750</v>
      </c>
      <c r="D65" s="107">
        <f>C65+2650</f>
        <v>3400</v>
      </c>
      <c r="E65" s="83">
        <f t="shared" si="0"/>
        <v>2650</v>
      </c>
      <c r="F65" s="108">
        <f t="shared" si="1"/>
        <v>4.5332999999999997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C30" sqref="B30:C3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5167277</v>
      </c>
      <c r="D6" s="102">
        <f>D7+D8+D9+D14+D15+D16+D17+D18+D19+D20+D21+D22+D23+D24+D28+D29+D31+D32+D33+D34</f>
        <v>5185015</v>
      </c>
      <c r="E6" s="83">
        <f>IF(C6=D6,"-",D6-C6)</f>
        <v>17738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675550</v>
      </c>
      <c r="D7" s="13">
        <f>C7</f>
        <v>675550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365779</v>
      </c>
      <c r="D8" s="13">
        <f>C8</f>
        <v>365779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2674060</v>
      </c>
      <c r="D9" s="13">
        <f>C9+17738</f>
        <v>2691798</v>
      </c>
      <c r="E9" s="38">
        <f t="shared" si="0"/>
        <v>17738</v>
      </c>
      <c r="F9" s="39">
        <f t="shared" si="1"/>
        <v>1.0065999999999999</v>
      </c>
    </row>
    <row r="10" spans="1:6" ht="31.5" customHeight="1" x14ac:dyDescent="0.2">
      <c r="A10" s="49" t="s">
        <v>55</v>
      </c>
      <c r="B10" s="45" t="s">
        <v>140</v>
      </c>
      <c r="C10" s="31">
        <v>246896</v>
      </c>
      <c r="D10" s="13">
        <f t="shared" ref="D10:D34" si="2">C10</f>
        <v>246896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222164</v>
      </c>
      <c r="D11" s="13">
        <f t="shared" si="2"/>
        <v>222164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88342</v>
      </c>
      <c r="D12" s="13">
        <f t="shared" si="2"/>
        <v>88342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35975</v>
      </c>
      <c r="D13" s="13">
        <f t="shared" si="2"/>
        <v>35975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181647</v>
      </c>
      <c r="D14" s="13">
        <f t="shared" si="2"/>
        <v>181647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137218</v>
      </c>
      <c r="D15" s="13">
        <f t="shared" si="2"/>
        <v>137218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67429</v>
      </c>
      <c r="D16" s="13">
        <f t="shared" si="2"/>
        <v>67429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35674</v>
      </c>
      <c r="D17" s="13">
        <f t="shared" si="2"/>
        <v>35674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121656</v>
      </c>
      <c r="D18" s="13">
        <f t="shared" si="2"/>
        <v>121656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11626</v>
      </c>
      <c r="D21" s="13">
        <f t="shared" si="2"/>
        <v>11626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153997</v>
      </c>
      <c r="D22" s="13">
        <f t="shared" si="2"/>
        <v>153997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613783</v>
      </c>
      <c r="D24" s="31">
        <f>SUM(D25:D27)</f>
        <v>613783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612070</v>
      </c>
      <c r="D25" s="13">
        <f t="shared" si="2"/>
        <v>612070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14858</v>
      </c>
      <c r="D32" s="13">
        <f t="shared" si="2"/>
        <v>14858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159</v>
      </c>
      <c r="D35" s="37">
        <f>C35</f>
        <v>159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125805</v>
      </c>
      <c r="D36" s="37">
        <f>C36</f>
        <v>125805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41435</v>
      </c>
      <c r="D37" s="37">
        <f>C37</f>
        <v>41435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871922</v>
      </c>
      <c r="D38" s="32">
        <f>D11+D13+D24+D30</f>
        <v>871922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14510</v>
      </c>
      <c r="E60" s="83">
        <f t="shared" si="0"/>
        <v>-2490</v>
      </c>
      <c r="F60" s="108">
        <f t="shared" si="1"/>
        <v>0.85350000000000004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C62-1100</f>
        <v>13900</v>
      </c>
      <c r="E62" s="29">
        <f t="shared" si="0"/>
        <v>-1100</v>
      </c>
      <c r="F62" s="39">
        <f t="shared" si="1"/>
        <v>0.92669999999999997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C64-1390</f>
        <v>610</v>
      </c>
      <c r="E64" s="29">
        <f t="shared" si="0"/>
        <v>-1390</v>
      </c>
      <c r="F64" s="39">
        <f t="shared" si="1"/>
        <v>0.30499999999999999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C65-1520</f>
        <v>3480</v>
      </c>
      <c r="E65" s="83">
        <f t="shared" si="0"/>
        <v>-1520</v>
      </c>
      <c r="F65" s="108">
        <f t="shared" si="1"/>
        <v>0.69599999999999995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D6" sqref="D6:D93"/>
      <selection pane="topRight" activeCell="D6" sqref="D6:D93"/>
      <selection pane="bottomLeft" activeCell="D6" sqref="D6:D93"/>
      <selection pane="bottomRight" activeCell="E29" sqref="E2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6555781</v>
      </c>
      <c r="D6" s="102">
        <f>D7+D8+D9+D14+D15+D16+D17+D18+D19+D20+D21+D22+D23+D24+D28+D29+D31+D32+D33+D34</f>
        <v>6578221</v>
      </c>
      <c r="E6" s="83">
        <f>IF(C6=D6,"-",D6-C6)</f>
        <v>22440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v>883000</v>
      </c>
      <c r="D7" s="13">
        <f>C7</f>
        <v>883000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494713</v>
      </c>
      <c r="D8" s="13">
        <f>C8</f>
        <v>494713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3302116</v>
      </c>
      <c r="D9" s="13">
        <f>C9+22440</f>
        <v>3324556</v>
      </c>
      <c r="E9" s="38">
        <f t="shared" si="0"/>
        <v>22440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v>340469</v>
      </c>
      <c r="D10" s="13">
        <f t="shared" ref="D10:D34" si="2">C10</f>
        <v>340469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308064</v>
      </c>
      <c r="D11" s="13">
        <f t="shared" si="2"/>
        <v>308064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104462</v>
      </c>
      <c r="D12" s="13">
        <f t="shared" si="2"/>
        <v>104462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52342</v>
      </c>
      <c r="D13" s="13">
        <f t="shared" si="2"/>
        <v>52342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202371</v>
      </c>
      <c r="D14" s="13">
        <f t="shared" si="2"/>
        <v>202371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207862</v>
      </c>
      <c r="D15" s="13">
        <f t="shared" si="2"/>
        <v>207862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157959</v>
      </c>
      <c r="D16" s="13">
        <f t="shared" si="2"/>
        <v>157959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71484</v>
      </c>
      <c r="D17" s="13">
        <f t="shared" si="2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174477</v>
      </c>
      <c r="D22" s="13">
        <f t="shared" si="2"/>
        <v>174477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79000</v>
      </c>
      <c r="D23" s="13">
        <f t="shared" si="2"/>
        <v>79000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705973</v>
      </c>
      <c r="D24" s="31">
        <f>SUM(D25:D27)</f>
        <v>705973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701973</v>
      </c>
      <c r="D25" s="13">
        <f t="shared" si="2"/>
        <v>701973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8854</v>
      </c>
      <c r="D32" s="13">
        <f t="shared" si="2"/>
        <v>8854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590</v>
      </c>
      <c r="D35" s="37">
        <f>C35</f>
        <v>590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50527</v>
      </c>
      <c r="D37" s="37">
        <f>C37</f>
        <v>50527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1066379</v>
      </c>
      <c r="D38" s="32">
        <f>D11+D13+D24+D30</f>
        <v>1066379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42539</v>
      </c>
      <c r="D39" s="87">
        <f>D40+D41+D42+D50+D52+D58+D59+D57</f>
        <v>42539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23725</v>
      </c>
      <c r="D50" s="33">
        <f t="shared" si="3"/>
        <v>23725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5338</v>
      </c>
      <c r="D52" s="29">
        <f>D53+D54+D55+D56</f>
        <v>5338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4071</v>
      </c>
      <c r="D53" s="33">
        <f t="shared" si="3"/>
        <v>4071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584</v>
      </c>
      <c r="D54" s="33">
        <f t="shared" si="3"/>
        <v>584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5300</v>
      </c>
      <c r="D58" s="33">
        <f t="shared" si="3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15665</v>
      </c>
      <c r="E60" s="83">
        <f t="shared" si="0"/>
        <v>-3695</v>
      </c>
      <c r="F60" s="108">
        <f t="shared" si="1"/>
        <v>0.80910000000000004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C62-3695</f>
        <v>12400</v>
      </c>
      <c r="E62" s="29">
        <f t="shared" si="0"/>
        <v>-3695</v>
      </c>
      <c r="F62" s="39">
        <f t="shared" si="1"/>
        <v>0.77039999999999997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300</v>
      </c>
      <c r="D65" s="107">
        <f>C65+3695</f>
        <v>3995</v>
      </c>
      <c r="E65" s="83">
        <f t="shared" si="0"/>
        <v>3695</v>
      </c>
      <c r="F65" s="108">
        <f t="shared" si="1"/>
        <v>13.316700000000001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Szeligowska Elżbieta</cp:lastModifiedBy>
  <cp:lastPrinted>2017-11-29T09:08:55Z</cp:lastPrinted>
  <dcterms:created xsi:type="dcterms:W3CDTF">2005-07-21T09:51:05Z</dcterms:created>
  <dcterms:modified xsi:type="dcterms:W3CDTF">2017-12-13T14:52:05Z</dcterms:modified>
</cp:coreProperties>
</file>